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C:\Nemalogic_Git_Hub\Nematode-Morphometricss\"/>
    </mc:Choice>
  </mc:AlternateContent>
  <xr:revisionPtr revIDLastSave="0" documentId="13_ncr:1_{D06C6AE9-A96D-459E-84B8-BCA382473DB5}" xr6:coauthVersionLast="47" xr6:coauthVersionMax="47" xr10:uidLastSave="{00000000-0000-0000-0000-000000000000}"/>
  <bookViews>
    <workbookView xWindow="3930" yWindow="5355" windowWidth="24600" windowHeight="12165" xr2:uid="{00000000-000D-0000-FFFF-FFFF00000000}"/>
  </bookViews>
  <sheets>
    <sheet name="Metrics" sheetId="1" r:id="rId1"/>
    <sheet name="Morphometrical Details" sheetId="2" r:id="rId2"/>
    <sheet name="Characters" sheetId="3" r:id="rId3"/>
    <sheet name="Reference" sheetId="4" r:id="rId4"/>
  </sheets>
  <definedNames>
    <definedName name="bprime" localSheetId="2">Characters!$A$39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524" i="1" l="1"/>
  <c r="M523" i="1"/>
  <c r="G523" i="1"/>
  <c r="F523" i="1"/>
  <c r="J520" i="1"/>
  <c r="J519" i="1"/>
  <c r="H519" i="1"/>
  <c r="J515" i="1"/>
  <c r="H515" i="1"/>
  <c r="G515" i="1"/>
  <c r="F515" i="1"/>
  <c r="M514" i="1"/>
  <c r="J514" i="1"/>
  <c r="H514" i="1"/>
  <c r="G514" i="1"/>
  <c r="F514" i="1"/>
  <c r="J510" i="1"/>
  <c r="H510" i="1"/>
  <c r="G510" i="1"/>
  <c r="F510" i="1"/>
  <c r="M509" i="1"/>
  <c r="J509" i="1"/>
  <c r="H509" i="1"/>
  <c r="G509" i="1"/>
  <c r="F509" i="1"/>
  <c r="J508" i="1"/>
  <c r="H508" i="1"/>
  <c r="G508" i="1"/>
  <c r="F508" i="1"/>
  <c r="J507" i="1"/>
  <c r="H507" i="1"/>
  <c r="G507" i="1"/>
  <c r="F507" i="1"/>
  <c r="J506" i="1"/>
  <c r="H506" i="1"/>
  <c r="G506" i="1"/>
  <c r="F506" i="1"/>
  <c r="M504" i="1"/>
  <c r="H504" i="1"/>
  <c r="G504" i="1"/>
  <c r="F504" i="1"/>
  <c r="J503" i="1"/>
  <c r="H503" i="1"/>
  <c r="G503" i="1"/>
  <c r="F503" i="1"/>
  <c r="M502" i="1"/>
  <c r="J502" i="1"/>
  <c r="H502" i="1"/>
  <c r="G502" i="1"/>
  <c r="F502" i="1"/>
  <c r="J501" i="1"/>
  <c r="H501" i="1"/>
  <c r="G501" i="1"/>
  <c r="F501" i="1"/>
  <c r="M500" i="1"/>
  <c r="J500" i="1"/>
  <c r="H500" i="1"/>
  <c r="G500" i="1"/>
  <c r="F500" i="1"/>
  <c r="J497" i="1"/>
  <c r="H497" i="1"/>
  <c r="F497" i="1"/>
  <c r="M496" i="1"/>
  <c r="J496" i="1"/>
  <c r="H496" i="1"/>
  <c r="G496" i="1"/>
  <c r="F496" i="1"/>
  <c r="J495" i="1"/>
  <c r="H495" i="1"/>
  <c r="F495" i="1"/>
  <c r="M494" i="1"/>
  <c r="J494" i="1"/>
  <c r="H494" i="1"/>
  <c r="G494" i="1"/>
  <c r="F494" i="1"/>
  <c r="M492" i="1"/>
  <c r="J492" i="1"/>
  <c r="H492" i="1"/>
  <c r="G492" i="1"/>
  <c r="F492" i="1"/>
  <c r="J489" i="1"/>
  <c r="J488" i="1"/>
  <c r="J486" i="1"/>
  <c r="H482" i="1"/>
  <c r="F481" i="1"/>
  <c r="M480" i="1"/>
  <c r="H480" i="1"/>
  <c r="G480" i="1"/>
  <c r="F480" i="1"/>
  <c r="M477" i="1"/>
  <c r="J477" i="1"/>
  <c r="H477" i="1"/>
  <c r="G477" i="1"/>
  <c r="F477" i="1"/>
  <c r="F474" i="1"/>
  <c r="F472" i="1"/>
  <c r="M470" i="1"/>
  <c r="J470" i="1"/>
  <c r="H470" i="1"/>
  <c r="G470" i="1"/>
  <c r="F470" i="1"/>
  <c r="J469" i="1"/>
  <c r="J467" i="1"/>
  <c r="H467" i="1"/>
  <c r="G467" i="1"/>
  <c r="H466" i="1"/>
  <c r="M462" i="1"/>
  <c r="J462" i="1"/>
  <c r="H462" i="1"/>
  <c r="G462" i="1"/>
  <c r="F462" i="1"/>
  <c r="J458" i="1"/>
  <c r="H458" i="1"/>
  <c r="G458" i="1"/>
  <c r="F458" i="1"/>
  <c r="M457" i="1"/>
  <c r="J457" i="1"/>
  <c r="H457" i="1"/>
  <c r="G457" i="1"/>
  <c r="F457" i="1"/>
  <c r="M454" i="1"/>
  <c r="J454" i="1"/>
  <c r="H454" i="1"/>
  <c r="G454" i="1"/>
  <c r="F454" i="1"/>
  <c r="J453" i="1"/>
  <c r="H453" i="1"/>
  <c r="G453" i="1"/>
  <c r="F453" i="1"/>
  <c r="M452" i="1"/>
  <c r="J452" i="1"/>
  <c r="H452" i="1"/>
  <c r="G452" i="1"/>
  <c r="F452" i="1"/>
  <c r="J449" i="1"/>
  <c r="H449" i="1"/>
  <c r="G449" i="1"/>
  <c r="F443" i="1"/>
  <c r="M439" i="1"/>
  <c r="J439" i="1"/>
  <c r="H439" i="1"/>
  <c r="G439" i="1"/>
  <c r="F439" i="1"/>
  <c r="G438" i="1"/>
  <c r="F436" i="1"/>
  <c r="F435" i="1"/>
  <c r="M431" i="1"/>
  <c r="J431" i="1"/>
  <c r="H431" i="1"/>
  <c r="G431" i="1"/>
  <c r="J429" i="1"/>
  <c r="H429" i="1"/>
  <c r="G429" i="1"/>
  <c r="J428" i="1"/>
  <c r="H428" i="1"/>
  <c r="G428" i="1"/>
  <c r="J424" i="1"/>
  <c r="H424" i="1"/>
  <c r="G424" i="1"/>
  <c r="F424" i="1"/>
  <c r="J423" i="1"/>
  <c r="H423" i="1"/>
  <c r="G423" i="1"/>
  <c r="F423" i="1"/>
  <c r="M422" i="1"/>
  <c r="J422" i="1"/>
  <c r="H422" i="1"/>
  <c r="G422" i="1"/>
  <c r="F422" i="1"/>
  <c r="M419" i="1"/>
  <c r="J419" i="1"/>
  <c r="H419" i="1"/>
  <c r="G419" i="1"/>
  <c r="F419" i="1"/>
  <c r="F417" i="1"/>
  <c r="J416" i="1"/>
  <c r="H416" i="1"/>
  <c r="G416" i="1"/>
  <c r="F416" i="1"/>
  <c r="J415" i="1"/>
  <c r="H415" i="1"/>
  <c r="G415" i="1"/>
  <c r="F415" i="1"/>
  <c r="H413" i="1"/>
  <c r="F413" i="1"/>
  <c r="F412" i="1"/>
  <c r="F411" i="1"/>
  <c r="F410" i="1"/>
  <c r="M405" i="1"/>
  <c r="J405" i="1"/>
  <c r="H405" i="1"/>
  <c r="G405" i="1"/>
  <c r="F405" i="1"/>
  <c r="J404" i="1"/>
  <c r="G404" i="1"/>
  <c r="J403" i="1"/>
  <c r="G403" i="1"/>
  <c r="F403" i="1"/>
  <c r="J402" i="1"/>
  <c r="H402" i="1"/>
  <c r="G402" i="1"/>
  <c r="F402" i="1"/>
  <c r="M401" i="1"/>
  <c r="J401" i="1"/>
  <c r="H401" i="1"/>
  <c r="G401" i="1"/>
  <c r="F401" i="1"/>
  <c r="J400" i="1"/>
  <c r="H400" i="1"/>
  <c r="G400" i="1"/>
  <c r="F400" i="1"/>
  <c r="M399" i="1"/>
  <c r="J399" i="1"/>
  <c r="H399" i="1"/>
  <c r="G399" i="1"/>
  <c r="F399" i="1"/>
  <c r="G393" i="1"/>
  <c r="M392" i="1"/>
  <c r="J392" i="1"/>
  <c r="H392" i="1"/>
  <c r="G392" i="1"/>
  <c r="M390" i="1"/>
  <c r="J390" i="1"/>
  <c r="H390" i="1"/>
  <c r="G390" i="1"/>
  <c r="F390" i="1"/>
  <c r="H389" i="1"/>
  <c r="G389" i="1"/>
  <c r="F389" i="1"/>
  <c r="M388" i="1"/>
  <c r="J388" i="1"/>
  <c r="H388" i="1"/>
  <c r="G388" i="1"/>
  <c r="F388" i="1"/>
  <c r="H385" i="1"/>
  <c r="G385" i="1"/>
  <c r="J384" i="1"/>
  <c r="H384" i="1"/>
  <c r="G384" i="1"/>
  <c r="J383" i="1"/>
  <c r="J382" i="1"/>
  <c r="M380" i="1"/>
  <c r="J380" i="1"/>
  <c r="H380" i="1"/>
  <c r="G380" i="1"/>
  <c r="F380" i="1"/>
  <c r="G379" i="1"/>
  <c r="M378" i="1"/>
  <c r="J378" i="1"/>
  <c r="H378" i="1"/>
  <c r="G378" i="1"/>
  <c r="F378" i="1"/>
  <c r="J377" i="1"/>
  <c r="H377" i="1"/>
  <c r="G377" i="1"/>
  <c r="F377" i="1"/>
  <c r="M376" i="1"/>
  <c r="J376" i="1"/>
  <c r="H376" i="1"/>
  <c r="G376" i="1"/>
  <c r="F376" i="1"/>
  <c r="M375" i="1"/>
  <c r="J375" i="1"/>
  <c r="H375" i="1"/>
  <c r="G375" i="1"/>
  <c r="F375" i="1"/>
  <c r="J374" i="1"/>
  <c r="H374" i="1"/>
  <c r="G374" i="1"/>
  <c r="J373" i="1"/>
  <c r="H373" i="1"/>
  <c r="G373" i="1"/>
  <c r="J372" i="1"/>
  <c r="H372" i="1"/>
  <c r="G372" i="1"/>
  <c r="F372" i="1"/>
  <c r="M371" i="1"/>
  <c r="J371" i="1"/>
  <c r="H371" i="1"/>
  <c r="G371" i="1"/>
  <c r="F371" i="1"/>
  <c r="J370" i="1"/>
  <c r="H370" i="1"/>
  <c r="G370" i="1"/>
  <c r="F370" i="1"/>
  <c r="J369" i="1"/>
  <c r="H369" i="1"/>
  <c r="G369" i="1"/>
  <c r="F369" i="1"/>
  <c r="J368" i="1"/>
  <c r="H368" i="1"/>
  <c r="J367" i="1"/>
  <c r="H367" i="1"/>
  <c r="G367" i="1"/>
  <c r="J366" i="1"/>
  <c r="H366" i="1"/>
  <c r="G366" i="1"/>
  <c r="J365" i="1"/>
  <c r="H365" i="1"/>
  <c r="G365" i="1"/>
  <c r="J364" i="1"/>
  <c r="H364" i="1"/>
  <c r="J363" i="1"/>
  <c r="H363" i="1"/>
  <c r="J362" i="1"/>
  <c r="H362" i="1"/>
  <c r="G362" i="1"/>
  <c r="F362" i="1"/>
  <c r="M361" i="1"/>
  <c r="J361" i="1"/>
  <c r="H361" i="1"/>
  <c r="G361" i="1"/>
  <c r="F361" i="1"/>
  <c r="J360" i="1"/>
  <c r="H360" i="1"/>
  <c r="G360" i="1"/>
  <c r="F360" i="1"/>
  <c r="M359" i="1"/>
  <c r="J359" i="1"/>
  <c r="H359" i="1"/>
  <c r="G359" i="1"/>
  <c r="J358" i="1"/>
  <c r="J357" i="1"/>
  <c r="G356" i="1"/>
  <c r="G355" i="1"/>
  <c r="J352" i="1"/>
  <c r="H352" i="1"/>
  <c r="G352" i="1"/>
  <c r="F352" i="1"/>
  <c r="J350" i="1"/>
  <c r="H350" i="1"/>
  <c r="G350" i="1"/>
  <c r="F350" i="1"/>
  <c r="M349" i="1"/>
  <c r="J349" i="1"/>
  <c r="H349" i="1"/>
  <c r="G349" i="1"/>
  <c r="F349" i="1"/>
  <c r="M348" i="1"/>
  <c r="J348" i="1"/>
  <c r="H348" i="1"/>
  <c r="G348" i="1"/>
  <c r="F348" i="1"/>
  <c r="J347" i="1"/>
  <c r="H347" i="1"/>
  <c r="G347" i="1"/>
  <c r="F347" i="1"/>
  <c r="M346" i="1"/>
  <c r="J346" i="1"/>
  <c r="H346" i="1"/>
  <c r="G346" i="1"/>
  <c r="F346" i="1"/>
  <c r="J345" i="1"/>
  <c r="G345" i="1"/>
  <c r="F345" i="1"/>
  <c r="J344" i="1"/>
  <c r="G344" i="1"/>
  <c r="F344" i="1"/>
  <c r="J343" i="1"/>
  <c r="H343" i="1"/>
  <c r="G343" i="1"/>
  <c r="F343" i="1"/>
  <c r="J342" i="1"/>
  <c r="H342" i="1"/>
  <c r="G342" i="1"/>
  <c r="F342" i="1"/>
  <c r="J338" i="1"/>
  <c r="H338" i="1"/>
  <c r="G338" i="1"/>
  <c r="F338" i="1"/>
  <c r="M337" i="1"/>
  <c r="J337" i="1"/>
  <c r="H337" i="1"/>
  <c r="G337" i="1"/>
  <c r="F337" i="1"/>
  <c r="M335" i="1"/>
  <c r="J335" i="1"/>
  <c r="H335" i="1"/>
  <c r="G335" i="1"/>
  <c r="F335" i="1"/>
  <c r="J333" i="1"/>
  <c r="H333" i="1"/>
  <c r="G333" i="1"/>
  <c r="F333" i="1"/>
  <c r="M332" i="1"/>
  <c r="J332" i="1"/>
  <c r="H332" i="1"/>
  <c r="G332" i="1"/>
  <c r="F332" i="1"/>
  <c r="J331" i="1"/>
  <c r="H331" i="1"/>
  <c r="G331" i="1"/>
  <c r="M330" i="1"/>
  <c r="J330" i="1"/>
  <c r="H330" i="1"/>
  <c r="G330" i="1"/>
  <c r="J329" i="1"/>
  <c r="H329" i="1"/>
  <c r="G329" i="1"/>
  <c r="F329" i="1"/>
  <c r="M328" i="1"/>
  <c r="J328" i="1"/>
  <c r="H328" i="1"/>
  <c r="G328" i="1"/>
  <c r="F328" i="1"/>
  <c r="J327" i="1"/>
  <c r="H327" i="1"/>
  <c r="G327" i="1"/>
  <c r="M325" i="1"/>
  <c r="J325" i="1"/>
  <c r="H325" i="1"/>
  <c r="G325" i="1"/>
  <c r="F325" i="1"/>
  <c r="J324" i="1"/>
  <c r="H324" i="1"/>
  <c r="G324" i="1"/>
  <c r="F324" i="1"/>
  <c r="M323" i="1"/>
  <c r="J323" i="1"/>
  <c r="H323" i="1"/>
  <c r="G323" i="1"/>
  <c r="F323" i="1"/>
  <c r="J322" i="1"/>
  <c r="H322" i="1"/>
  <c r="G322" i="1"/>
  <c r="F322" i="1"/>
  <c r="J320" i="1"/>
  <c r="M319" i="1"/>
  <c r="J319" i="1"/>
  <c r="H319" i="1"/>
  <c r="G319" i="1"/>
  <c r="F319" i="1"/>
  <c r="H318" i="1"/>
  <c r="G318" i="1"/>
  <c r="G315" i="1"/>
  <c r="M314" i="1"/>
  <c r="J314" i="1"/>
  <c r="H314" i="1"/>
  <c r="G314" i="1"/>
  <c r="F314" i="1"/>
  <c r="M313" i="1"/>
  <c r="J313" i="1"/>
  <c r="H313" i="1"/>
  <c r="G313" i="1"/>
  <c r="F313" i="1"/>
  <c r="J312" i="1"/>
  <c r="H312" i="1"/>
  <c r="G312" i="1"/>
  <c r="F312" i="1"/>
  <c r="M311" i="1"/>
  <c r="J311" i="1"/>
  <c r="H311" i="1"/>
  <c r="G311" i="1"/>
  <c r="F311" i="1"/>
  <c r="J310" i="1"/>
  <c r="H310" i="1"/>
  <c r="G310" i="1"/>
  <c r="F310" i="1"/>
  <c r="J309" i="1"/>
  <c r="H309" i="1"/>
  <c r="G309" i="1"/>
  <c r="F309" i="1"/>
  <c r="M308" i="1"/>
  <c r="J308" i="1"/>
  <c r="H308" i="1"/>
  <c r="G308" i="1"/>
  <c r="F308" i="1"/>
  <c r="J307" i="1"/>
  <c r="H307" i="1"/>
  <c r="G307" i="1"/>
  <c r="F307" i="1"/>
  <c r="M306" i="1"/>
  <c r="J306" i="1"/>
  <c r="H306" i="1"/>
  <c r="G306" i="1"/>
  <c r="F306" i="1"/>
  <c r="J305" i="1"/>
  <c r="J304" i="1"/>
  <c r="H304" i="1"/>
  <c r="G304" i="1"/>
  <c r="F304" i="1"/>
  <c r="J303" i="1"/>
  <c r="H303" i="1"/>
  <c r="G303" i="1"/>
  <c r="F303" i="1"/>
  <c r="J302" i="1"/>
  <c r="H302" i="1"/>
  <c r="G302" i="1"/>
  <c r="F302" i="1"/>
  <c r="J297" i="1"/>
  <c r="H297" i="1"/>
  <c r="G297" i="1"/>
  <c r="F297" i="1"/>
  <c r="J295" i="1"/>
  <c r="H295" i="1"/>
  <c r="G295" i="1"/>
  <c r="F295" i="1"/>
  <c r="J292" i="1"/>
  <c r="H292" i="1"/>
  <c r="G292" i="1"/>
  <c r="F292" i="1"/>
  <c r="F289" i="1"/>
  <c r="M288" i="1"/>
  <c r="J288" i="1"/>
  <c r="H288" i="1"/>
  <c r="G288" i="1"/>
  <c r="F288" i="1"/>
  <c r="G285" i="1"/>
  <c r="F285" i="1"/>
  <c r="M284" i="1"/>
  <c r="J284" i="1"/>
  <c r="H284" i="1"/>
  <c r="G284" i="1"/>
  <c r="F284" i="1"/>
  <c r="J283" i="1"/>
  <c r="H283" i="1"/>
  <c r="G283" i="1"/>
  <c r="F283" i="1"/>
  <c r="M282" i="1"/>
  <c r="J282" i="1"/>
  <c r="H282" i="1"/>
  <c r="G282" i="1"/>
  <c r="F282" i="1"/>
  <c r="J281" i="1"/>
  <c r="H281" i="1"/>
  <c r="G281" i="1"/>
  <c r="F281" i="1"/>
  <c r="M280" i="1"/>
  <c r="J280" i="1"/>
  <c r="H280" i="1"/>
  <c r="G280" i="1"/>
  <c r="F280" i="1"/>
  <c r="M279" i="1"/>
  <c r="J279" i="1"/>
  <c r="H279" i="1"/>
  <c r="G279" i="1"/>
  <c r="F279" i="1"/>
  <c r="J278" i="1"/>
  <c r="H278" i="1"/>
  <c r="G278" i="1"/>
  <c r="F278" i="1"/>
  <c r="M277" i="1"/>
  <c r="J277" i="1"/>
  <c r="H277" i="1"/>
  <c r="G277" i="1"/>
  <c r="F277" i="1"/>
  <c r="J276" i="1"/>
  <c r="G276" i="1"/>
  <c r="F276" i="1"/>
  <c r="G275" i="1"/>
  <c r="F275" i="1"/>
  <c r="J274" i="1"/>
  <c r="H274" i="1"/>
  <c r="G274" i="1"/>
  <c r="F274" i="1"/>
  <c r="M273" i="1"/>
  <c r="H273" i="1"/>
  <c r="G273" i="1"/>
  <c r="F273" i="1"/>
  <c r="J267" i="1"/>
  <c r="H267" i="1"/>
  <c r="F267" i="1"/>
  <c r="M266" i="1"/>
  <c r="J266" i="1"/>
  <c r="H266" i="1"/>
  <c r="G266" i="1"/>
  <c r="F266" i="1"/>
  <c r="J265" i="1"/>
  <c r="H265" i="1"/>
  <c r="G265" i="1"/>
  <c r="F265" i="1"/>
  <c r="M264" i="1"/>
  <c r="J264" i="1"/>
  <c r="H264" i="1"/>
  <c r="G264" i="1"/>
  <c r="F264" i="1"/>
  <c r="J263" i="1"/>
  <c r="H263" i="1"/>
  <c r="G263" i="1"/>
  <c r="F263" i="1"/>
  <c r="M262" i="1"/>
  <c r="J262" i="1"/>
  <c r="H262" i="1"/>
  <c r="G262" i="1"/>
  <c r="F262" i="1"/>
  <c r="J261" i="1"/>
  <c r="G261" i="1"/>
  <c r="F261" i="1"/>
  <c r="M260" i="1"/>
  <c r="J260" i="1"/>
  <c r="H260" i="1"/>
  <c r="G260" i="1"/>
  <c r="F260" i="1"/>
  <c r="J259" i="1"/>
  <c r="H259" i="1"/>
  <c r="G259" i="1"/>
  <c r="F259" i="1"/>
  <c r="M258" i="1"/>
  <c r="J258" i="1"/>
  <c r="H258" i="1"/>
  <c r="G258" i="1"/>
  <c r="F258" i="1"/>
  <c r="J257" i="1"/>
  <c r="H257" i="1"/>
  <c r="G257" i="1"/>
  <c r="F257" i="1"/>
  <c r="M256" i="1"/>
  <c r="J256" i="1"/>
  <c r="H256" i="1"/>
  <c r="G256" i="1"/>
  <c r="F256" i="1"/>
  <c r="J255" i="1"/>
  <c r="H255" i="1"/>
  <c r="G255" i="1"/>
  <c r="F255" i="1"/>
  <c r="M254" i="1"/>
  <c r="J254" i="1"/>
  <c r="H254" i="1"/>
  <c r="G254" i="1"/>
  <c r="F254" i="1"/>
  <c r="J253" i="1"/>
  <c r="H253" i="1"/>
  <c r="G253" i="1"/>
  <c r="F253" i="1"/>
  <c r="M252" i="1"/>
  <c r="J252" i="1"/>
  <c r="H252" i="1"/>
  <c r="G252" i="1"/>
  <c r="F252" i="1"/>
  <c r="M251" i="1"/>
  <c r="J251" i="1"/>
  <c r="H251" i="1"/>
  <c r="G251" i="1"/>
  <c r="F251" i="1"/>
  <c r="J250" i="1"/>
  <c r="H250" i="1"/>
  <c r="G250" i="1"/>
  <c r="F250" i="1"/>
  <c r="M249" i="1"/>
  <c r="J249" i="1"/>
  <c r="H249" i="1"/>
  <c r="G249" i="1"/>
  <c r="F249" i="1"/>
  <c r="M247" i="1"/>
  <c r="J247" i="1"/>
  <c r="H247" i="1"/>
  <c r="G247" i="1"/>
  <c r="F247" i="1"/>
  <c r="J246" i="1"/>
  <c r="H246" i="1"/>
  <c r="G246" i="1"/>
  <c r="F246" i="1"/>
  <c r="M245" i="1"/>
  <c r="J245" i="1"/>
  <c r="H245" i="1"/>
  <c r="G245" i="1"/>
  <c r="F245" i="1"/>
  <c r="J244" i="1"/>
  <c r="G244" i="1"/>
  <c r="F244" i="1"/>
  <c r="M243" i="1"/>
  <c r="H243" i="1"/>
  <c r="G243" i="1"/>
  <c r="F243" i="1"/>
  <c r="J239" i="1"/>
  <c r="H239" i="1"/>
  <c r="G239" i="1"/>
  <c r="F239" i="1"/>
  <c r="M238" i="1"/>
  <c r="J238" i="1"/>
  <c r="H238" i="1"/>
  <c r="G238" i="1"/>
  <c r="F238" i="1"/>
  <c r="J237" i="1"/>
  <c r="H237" i="1"/>
  <c r="G237" i="1"/>
  <c r="F237" i="1"/>
  <c r="M236" i="1"/>
  <c r="J236" i="1"/>
  <c r="H236" i="1"/>
  <c r="G236" i="1"/>
  <c r="F236" i="1"/>
  <c r="M234" i="1"/>
  <c r="J234" i="1"/>
  <c r="H234" i="1"/>
  <c r="G234" i="1"/>
  <c r="F234" i="1"/>
  <c r="J233" i="1"/>
  <c r="H233" i="1"/>
  <c r="G233" i="1"/>
  <c r="F233" i="1"/>
  <c r="M232" i="1"/>
  <c r="J232" i="1"/>
  <c r="H232" i="1"/>
  <c r="G232" i="1"/>
  <c r="F232" i="1"/>
  <c r="J231" i="1"/>
  <c r="H231" i="1"/>
  <c r="G231" i="1"/>
  <c r="F231" i="1"/>
  <c r="M230" i="1"/>
  <c r="J230" i="1"/>
  <c r="H230" i="1"/>
  <c r="G230" i="1"/>
  <c r="F230" i="1"/>
  <c r="J229" i="1"/>
  <c r="H229" i="1"/>
  <c r="G229" i="1"/>
  <c r="F229" i="1"/>
  <c r="M228" i="1"/>
  <c r="J228" i="1"/>
  <c r="H228" i="1"/>
  <c r="G228" i="1"/>
  <c r="F228" i="1"/>
  <c r="M226" i="1"/>
  <c r="J226" i="1"/>
  <c r="H226" i="1"/>
  <c r="G226" i="1"/>
  <c r="F226" i="1"/>
  <c r="J225" i="1"/>
  <c r="H225" i="1"/>
  <c r="G225" i="1"/>
  <c r="F225" i="1"/>
  <c r="M224" i="1"/>
  <c r="J224" i="1"/>
  <c r="H224" i="1"/>
  <c r="G224" i="1"/>
  <c r="F224" i="1"/>
  <c r="J223" i="1"/>
  <c r="H223" i="1"/>
  <c r="F223" i="1"/>
  <c r="M222" i="1"/>
  <c r="J222" i="1"/>
  <c r="H222" i="1"/>
  <c r="G222" i="1"/>
  <c r="F222" i="1"/>
  <c r="J221" i="1"/>
  <c r="H221" i="1"/>
  <c r="G221" i="1"/>
  <c r="F221" i="1"/>
  <c r="M220" i="1"/>
  <c r="J220" i="1"/>
  <c r="H220" i="1"/>
  <c r="G220" i="1"/>
  <c r="F220" i="1"/>
  <c r="J219" i="1"/>
  <c r="H219" i="1"/>
  <c r="G219" i="1"/>
  <c r="F219" i="1"/>
  <c r="M218" i="1"/>
  <c r="J218" i="1"/>
  <c r="H218" i="1"/>
  <c r="G218" i="1"/>
  <c r="F218" i="1"/>
  <c r="J215" i="1"/>
  <c r="H215" i="1"/>
  <c r="G215" i="1"/>
  <c r="F215" i="1"/>
  <c r="M214" i="1"/>
  <c r="J214" i="1"/>
  <c r="H214" i="1"/>
  <c r="G214" i="1"/>
  <c r="F214" i="1"/>
  <c r="J213" i="1"/>
  <c r="H213" i="1"/>
  <c r="G213" i="1"/>
  <c r="F213" i="1"/>
  <c r="M212" i="1"/>
  <c r="J212" i="1"/>
  <c r="H212" i="1"/>
  <c r="G212" i="1"/>
  <c r="F212" i="1"/>
  <c r="J211" i="1"/>
  <c r="H211" i="1"/>
  <c r="G211" i="1"/>
  <c r="F211" i="1"/>
  <c r="M210" i="1"/>
  <c r="J210" i="1"/>
  <c r="H210" i="1"/>
  <c r="G210" i="1"/>
  <c r="F210" i="1"/>
  <c r="J209" i="1"/>
  <c r="H209" i="1"/>
  <c r="G209" i="1"/>
  <c r="F209" i="1"/>
  <c r="M208" i="1"/>
  <c r="J208" i="1"/>
  <c r="H208" i="1"/>
  <c r="G208" i="1"/>
  <c r="F208" i="1"/>
  <c r="J207" i="1"/>
  <c r="H207" i="1"/>
  <c r="G207" i="1"/>
  <c r="F207" i="1"/>
  <c r="M206" i="1"/>
  <c r="J206" i="1"/>
  <c r="H206" i="1"/>
  <c r="G206" i="1"/>
  <c r="F206" i="1"/>
  <c r="J205" i="1"/>
  <c r="H205" i="1"/>
  <c r="G205" i="1"/>
  <c r="F205" i="1"/>
  <c r="M204" i="1"/>
  <c r="J204" i="1"/>
  <c r="H204" i="1"/>
  <c r="G204" i="1"/>
  <c r="F204" i="1"/>
  <c r="J203" i="1"/>
  <c r="H203" i="1"/>
  <c r="G203" i="1"/>
  <c r="F203" i="1"/>
  <c r="M202" i="1"/>
  <c r="J202" i="1"/>
  <c r="H202" i="1"/>
  <c r="G202" i="1"/>
  <c r="F202" i="1"/>
  <c r="J201" i="1"/>
  <c r="H201" i="1"/>
  <c r="G201" i="1"/>
  <c r="F201" i="1"/>
  <c r="M200" i="1"/>
  <c r="J200" i="1"/>
  <c r="H200" i="1"/>
  <c r="G200" i="1"/>
  <c r="F200" i="1"/>
  <c r="J197" i="1"/>
  <c r="H197" i="1"/>
  <c r="G197" i="1"/>
  <c r="F197" i="1"/>
  <c r="M196" i="1"/>
  <c r="J196" i="1"/>
  <c r="H196" i="1"/>
  <c r="G196" i="1"/>
  <c r="F196" i="1"/>
  <c r="J195" i="1"/>
  <c r="H195" i="1"/>
  <c r="G195" i="1"/>
  <c r="F195" i="1"/>
  <c r="M194" i="1"/>
  <c r="J194" i="1"/>
  <c r="H194" i="1"/>
  <c r="G194" i="1"/>
  <c r="F194" i="1"/>
  <c r="J193" i="1"/>
  <c r="H193" i="1"/>
  <c r="G193" i="1"/>
  <c r="F193" i="1"/>
  <c r="M192" i="1"/>
  <c r="J192" i="1"/>
  <c r="H192" i="1"/>
  <c r="G192" i="1"/>
  <c r="F192" i="1"/>
  <c r="J189" i="1"/>
  <c r="H189" i="1"/>
  <c r="G189" i="1"/>
  <c r="F189" i="1"/>
  <c r="M188" i="1"/>
  <c r="J188" i="1"/>
  <c r="H188" i="1"/>
  <c r="G188" i="1"/>
  <c r="F188" i="1"/>
  <c r="J187" i="1"/>
  <c r="H187" i="1"/>
  <c r="G187" i="1"/>
  <c r="F187" i="1"/>
  <c r="J186" i="1"/>
  <c r="H186" i="1"/>
  <c r="G186" i="1"/>
  <c r="F186" i="1"/>
  <c r="J185" i="1"/>
  <c r="H185" i="1"/>
  <c r="G185" i="1"/>
  <c r="F185" i="1"/>
  <c r="M184" i="1"/>
  <c r="J184" i="1"/>
  <c r="H184" i="1"/>
  <c r="G184" i="1"/>
  <c r="F184" i="1"/>
  <c r="J183" i="1"/>
  <c r="H183" i="1"/>
  <c r="G183" i="1"/>
  <c r="F183" i="1"/>
  <c r="M182" i="1"/>
  <c r="J182" i="1"/>
  <c r="H182" i="1"/>
  <c r="G182" i="1"/>
  <c r="F182" i="1"/>
  <c r="J181" i="1"/>
  <c r="H181" i="1"/>
  <c r="G181" i="1"/>
  <c r="F181" i="1"/>
  <c r="M180" i="1"/>
  <c r="J180" i="1"/>
  <c r="H180" i="1"/>
  <c r="G180" i="1"/>
  <c r="F180" i="1"/>
  <c r="J179" i="1"/>
  <c r="H179" i="1"/>
  <c r="G179" i="1"/>
  <c r="F179" i="1"/>
  <c r="M178" i="1"/>
  <c r="J178" i="1"/>
  <c r="H178" i="1"/>
  <c r="G178" i="1"/>
  <c r="F178" i="1"/>
  <c r="J177" i="1"/>
  <c r="H177" i="1"/>
  <c r="G177" i="1"/>
  <c r="F177" i="1"/>
  <c r="M176" i="1"/>
  <c r="J176" i="1"/>
  <c r="H176" i="1"/>
  <c r="G176" i="1"/>
  <c r="F176" i="1"/>
  <c r="J175" i="1"/>
  <c r="H175" i="1"/>
  <c r="G175" i="1"/>
  <c r="F175" i="1"/>
  <c r="M174" i="1"/>
  <c r="J174" i="1"/>
  <c r="H174" i="1"/>
  <c r="G174" i="1"/>
  <c r="F174" i="1"/>
  <c r="J173" i="1"/>
  <c r="H173" i="1"/>
  <c r="G173" i="1"/>
  <c r="F173" i="1"/>
  <c r="M172" i="1"/>
  <c r="J172" i="1"/>
  <c r="H172" i="1"/>
  <c r="G172" i="1"/>
  <c r="F172" i="1"/>
  <c r="J171" i="1"/>
  <c r="H171" i="1"/>
  <c r="G171" i="1"/>
  <c r="F171" i="1"/>
  <c r="M170" i="1"/>
  <c r="J170" i="1"/>
  <c r="H170" i="1"/>
  <c r="G170" i="1"/>
  <c r="F170" i="1"/>
  <c r="J169" i="1"/>
  <c r="H169" i="1"/>
  <c r="G169" i="1"/>
  <c r="F169" i="1"/>
  <c r="M168" i="1"/>
  <c r="J168" i="1"/>
  <c r="H168" i="1"/>
  <c r="G168" i="1"/>
  <c r="F168" i="1"/>
  <c r="J167" i="1"/>
  <c r="H167" i="1"/>
  <c r="G167" i="1"/>
  <c r="F167" i="1"/>
  <c r="M166" i="1"/>
  <c r="J166" i="1"/>
  <c r="H166" i="1"/>
  <c r="G166" i="1"/>
  <c r="F166" i="1"/>
  <c r="Q165" i="1"/>
  <c r="J165" i="1"/>
  <c r="H165" i="1"/>
  <c r="G165" i="1"/>
  <c r="F165" i="1"/>
  <c r="M164" i="1"/>
  <c r="J164" i="1"/>
  <c r="H164" i="1"/>
  <c r="G164" i="1"/>
  <c r="F164" i="1"/>
  <c r="J163" i="1"/>
  <c r="H163" i="1"/>
  <c r="G163" i="1"/>
  <c r="F163" i="1"/>
  <c r="M162" i="1"/>
  <c r="J162" i="1"/>
  <c r="H162" i="1"/>
  <c r="G162" i="1"/>
  <c r="F162" i="1"/>
  <c r="J161" i="1"/>
  <c r="H161" i="1"/>
  <c r="G161" i="1"/>
  <c r="F161" i="1"/>
  <c r="J160" i="1"/>
  <c r="H160" i="1"/>
  <c r="G160" i="1"/>
  <c r="F160" i="1"/>
  <c r="M159" i="1"/>
  <c r="J159" i="1"/>
  <c r="H159" i="1"/>
  <c r="G159" i="1"/>
  <c r="F159" i="1"/>
  <c r="J158" i="1"/>
  <c r="H158" i="1"/>
  <c r="G158" i="1"/>
  <c r="F158" i="1"/>
  <c r="M157" i="1"/>
  <c r="J157" i="1"/>
  <c r="H157" i="1"/>
  <c r="G157" i="1"/>
  <c r="F157" i="1"/>
  <c r="J156" i="1"/>
  <c r="H156" i="1"/>
  <c r="G156" i="1"/>
  <c r="F156" i="1"/>
  <c r="M155" i="1"/>
  <c r="J155" i="1"/>
  <c r="H155" i="1"/>
  <c r="G155" i="1"/>
  <c r="F155" i="1"/>
  <c r="J154" i="1"/>
  <c r="H154" i="1"/>
  <c r="G154" i="1"/>
  <c r="F154" i="1"/>
  <c r="M153" i="1"/>
  <c r="J153" i="1"/>
  <c r="H153" i="1"/>
  <c r="G153" i="1"/>
  <c r="F153" i="1"/>
  <c r="H152" i="1"/>
  <c r="G152" i="1"/>
  <c r="F152" i="1"/>
  <c r="M151" i="1"/>
  <c r="H151" i="1"/>
  <c r="G151" i="1"/>
  <c r="F151" i="1"/>
  <c r="F150" i="1"/>
  <c r="M149" i="1"/>
  <c r="J149" i="1"/>
  <c r="G149" i="1"/>
  <c r="F149" i="1"/>
  <c r="H148" i="1"/>
  <c r="G148" i="1"/>
  <c r="F148" i="1"/>
  <c r="M147" i="1"/>
  <c r="J147" i="1"/>
  <c r="H147" i="1"/>
  <c r="G147" i="1"/>
  <c r="F147" i="1"/>
  <c r="M145" i="1"/>
  <c r="J145" i="1"/>
  <c r="H145" i="1"/>
  <c r="G145" i="1"/>
  <c r="F145" i="1"/>
  <c r="J144" i="1"/>
  <c r="H144" i="1"/>
  <c r="G144" i="1"/>
  <c r="F144" i="1"/>
  <c r="M143" i="1"/>
  <c r="J143" i="1"/>
  <c r="H143" i="1"/>
  <c r="G143" i="1"/>
  <c r="F143" i="1"/>
  <c r="F142" i="1"/>
  <c r="F141" i="1"/>
  <c r="F140" i="1"/>
  <c r="F139" i="1"/>
  <c r="J138" i="1"/>
  <c r="H138" i="1"/>
  <c r="G138" i="1"/>
  <c r="F138" i="1"/>
  <c r="M137" i="1"/>
  <c r="J137" i="1"/>
  <c r="H137" i="1"/>
  <c r="G137" i="1"/>
  <c r="F137" i="1"/>
  <c r="J136" i="1"/>
  <c r="H136" i="1"/>
  <c r="G136" i="1"/>
  <c r="F136" i="1"/>
  <c r="M135" i="1"/>
  <c r="J135" i="1"/>
  <c r="H135" i="1"/>
  <c r="G135" i="1"/>
  <c r="F135" i="1"/>
  <c r="J134" i="1"/>
  <c r="H134" i="1"/>
  <c r="G134" i="1"/>
  <c r="F134" i="1"/>
  <c r="M133" i="1"/>
  <c r="J133" i="1"/>
  <c r="H133" i="1"/>
  <c r="G133" i="1"/>
  <c r="F133" i="1"/>
  <c r="J132" i="1"/>
  <c r="H132" i="1"/>
  <c r="G132" i="1"/>
  <c r="F132" i="1"/>
  <c r="M131" i="1"/>
  <c r="J131" i="1"/>
  <c r="H131" i="1"/>
  <c r="G131" i="1"/>
  <c r="F131" i="1"/>
  <c r="J130" i="1"/>
  <c r="H130" i="1"/>
  <c r="G130" i="1"/>
  <c r="F130" i="1"/>
  <c r="M129" i="1"/>
  <c r="J129" i="1"/>
  <c r="H129" i="1"/>
  <c r="G129" i="1"/>
  <c r="F129" i="1"/>
  <c r="J128" i="1"/>
  <c r="G128" i="1"/>
  <c r="F128" i="1"/>
  <c r="M127" i="1"/>
  <c r="J127" i="1"/>
  <c r="G127" i="1"/>
  <c r="F127" i="1"/>
  <c r="J126" i="1"/>
  <c r="H126" i="1"/>
  <c r="G126" i="1"/>
  <c r="F126" i="1"/>
  <c r="M125" i="1"/>
  <c r="J125" i="1"/>
  <c r="H125" i="1"/>
  <c r="G125" i="1"/>
  <c r="F125" i="1"/>
  <c r="H122" i="1"/>
  <c r="G122" i="1"/>
  <c r="F122" i="1"/>
  <c r="M121" i="1"/>
  <c r="J121" i="1"/>
  <c r="H121" i="1"/>
  <c r="G121" i="1"/>
  <c r="F121" i="1"/>
  <c r="H119" i="1"/>
  <c r="G119" i="1"/>
  <c r="F119" i="1"/>
  <c r="M118" i="1"/>
  <c r="J118" i="1"/>
  <c r="H118" i="1"/>
  <c r="G118" i="1"/>
  <c r="F118" i="1"/>
  <c r="J117" i="1"/>
  <c r="H117" i="1"/>
  <c r="G117" i="1"/>
  <c r="F117" i="1"/>
  <c r="M116" i="1"/>
  <c r="J116" i="1"/>
  <c r="H116" i="1"/>
  <c r="G116" i="1"/>
  <c r="F116" i="1"/>
  <c r="J115" i="1"/>
  <c r="H115" i="1"/>
  <c r="G115" i="1"/>
  <c r="F115" i="1"/>
  <c r="M114" i="1"/>
  <c r="J114" i="1"/>
  <c r="H114" i="1"/>
  <c r="G114" i="1"/>
  <c r="F114" i="1"/>
  <c r="J113" i="1"/>
  <c r="H113" i="1"/>
  <c r="G113" i="1"/>
  <c r="F113" i="1"/>
  <c r="M112" i="1"/>
  <c r="J112" i="1"/>
  <c r="H112" i="1"/>
  <c r="G112" i="1"/>
  <c r="F112" i="1"/>
  <c r="J110" i="1"/>
  <c r="H110" i="1"/>
  <c r="G110" i="1"/>
  <c r="J109" i="1"/>
  <c r="H109" i="1"/>
  <c r="G109" i="1"/>
  <c r="J108" i="1"/>
  <c r="G108" i="1"/>
  <c r="F108" i="1"/>
  <c r="M107" i="1"/>
  <c r="J107" i="1"/>
  <c r="G107" i="1"/>
  <c r="F107" i="1"/>
  <c r="J106" i="1"/>
  <c r="H106" i="1"/>
  <c r="G106" i="1"/>
  <c r="F106" i="1"/>
  <c r="M105" i="1"/>
  <c r="J105" i="1"/>
  <c r="H105" i="1"/>
  <c r="G105" i="1"/>
  <c r="F105" i="1"/>
  <c r="J104" i="1"/>
  <c r="H104" i="1"/>
  <c r="G104" i="1"/>
  <c r="F104" i="1"/>
  <c r="M103" i="1"/>
  <c r="J103" i="1"/>
  <c r="H103" i="1"/>
  <c r="G103" i="1"/>
  <c r="F103" i="1"/>
  <c r="J98" i="1"/>
  <c r="H98" i="1"/>
  <c r="G98" i="1"/>
  <c r="F98" i="1"/>
  <c r="M97" i="1"/>
  <c r="J97" i="1"/>
  <c r="H97" i="1"/>
  <c r="G97" i="1"/>
  <c r="F97" i="1"/>
  <c r="J96" i="1"/>
  <c r="H96" i="1"/>
  <c r="G96" i="1"/>
  <c r="F96" i="1"/>
  <c r="M95" i="1"/>
  <c r="J95" i="1"/>
  <c r="H95" i="1"/>
  <c r="G95" i="1"/>
  <c r="F95" i="1"/>
  <c r="J94" i="1"/>
  <c r="H94" i="1"/>
  <c r="G94" i="1"/>
  <c r="F94" i="1"/>
  <c r="M93" i="1"/>
  <c r="J93" i="1"/>
  <c r="H93" i="1"/>
  <c r="G93" i="1"/>
  <c r="F93" i="1"/>
  <c r="H85" i="1"/>
  <c r="G85" i="1"/>
  <c r="M84" i="1"/>
  <c r="J84" i="1"/>
  <c r="H84" i="1"/>
  <c r="G84" i="1"/>
  <c r="J81" i="1"/>
  <c r="G81" i="1"/>
  <c r="M79" i="1"/>
  <c r="J79" i="1"/>
  <c r="H79" i="1"/>
  <c r="G79" i="1"/>
  <c r="F79" i="1"/>
  <c r="F78" i="1"/>
  <c r="J77" i="1"/>
  <c r="G77" i="1"/>
  <c r="F77" i="1"/>
  <c r="M76" i="1"/>
  <c r="J76" i="1"/>
  <c r="H76" i="1"/>
  <c r="G76" i="1"/>
  <c r="F76" i="1"/>
  <c r="J75" i="1"/>
  <c r="G75" i="1"/>
  <c r="F75" i="1"/>
  <c r="M74" i="1"/>
  <c r="J74" i="1"/>
  <c r="H74" i="1"/>
  <c r="G74" i="1"/>
  <c r="F74" i="1"/>
  <c r="J73" i="1"/>
  <c r="G73" i="1"/>
  <c r="F73" i="1"/>
  <c r="M72" i="1"/>
  <c r="J72" i="1"/>
  <c r="H72" i="1"/>
  <c r="G72" i="1"/>
  <c r="F72" i="1"/>
  <c r="J71" i="1"/>
  <c r="G71" i="1"/>
  <c r="F71" i="1"/>
  <c r="F70" i="1"/>
  <c r="J69" i="1"/>
  <c r="G69" i="1"/>
  <c r="F69" i="1"/>
  <c r="F66" i="1"/>
  <c r="J64" i="1"/>
  <c r="F62" i="1"/>
  <c r="J61" i="1"/>
  <c r="G61" i="1"/>
  <c r="F61" i="1"/>
  <c r="M60" i="1"/>
  <c r="J60" i="1"/>
  <c r="G60" i="1"/>
  <c r="F60" i="1"/>
  <c r="J59" i="1"/>
  <c r="H59" i="1"/>
  <c r="G59" i="1"/>
  <c r="F59" i="1"/>
  <c r="M58" i="1"/>
  <c r="J58" i="1"/>
  <c r="H58" i="1"/>
  <c r="G58" i="1"/>
  <c r="F58" i="1"/>
  <c r="M57" i="1"/>
  <c r="J57" i="1"/>
  <c r="H57" i="1"/>
  <c r="G57" i="1"/>
  <c r="F57" i="1"/>
  <c r="J56" i="1"/>
  <c r="H56" i="1"/>
  <c r="G56" i="1"/>
  <c r="F56" i="1"/>
  <c r="M55" i="1"/>
  <c r="J55" i="1"/>
  <c r="H55" i="1"/>
  <c r="G55" i="1"/>
  <c r="F55" i="1"/>
  <c r="J54" i="1"/>
  <c r="H54" i="1"/>
  <c r="G54" i="1"/>
  <c r="F54" i="1"/>
  <c r="M53" i="1"/>
  <c r="J53" i="1"/>
  <c r="H53" i="1"/>
  <c r="G53" i="1"/>
  <c r="F53" i="1"/>
  <c r="H50" i="1"/>
  <c r="G50" i="1"/>
  <c r="F50" i="1"/>
  <c r="M49" i="1"/>
  <c r="J49" i="1"/>
  <c r="H49" i="1"/>
  <c r="G49" i="1"/>
  <c r="F49" i="1"/>
  <c r="J48" i="1"/>
  <c r="H48" i="1"/>
  <c r="G48" i="1"/>
  <c r="F48" i="1"/>
  <c r="M47" i="1"/>
  <c r="J47" i="1"/>
  <c r="H47" i="1"/>
  <c r="G47" i="1"/>
  <c r="F47" i="1"/>
  <c r="J46" i="1"/>
  <c r="H46" i="1"/>
  <c r="G46" i="1"/>
  <c r="F46" i="1"/>
  <c r="M45" i="1"/>
  <c r="J45" i="1"/>
  <c r="H45" i="1"/>
  <c r="G45" i="1"/>
  <c r="F45" i="1"/>
  <c r="J44" i="1"/>
  <c r="H44" i="1"/>
  <c r="G44" i="1"/>
  <c r="F44" i="1"/>
  <c r="M43" i="1"/>
  <c r="J43" i="1"/>
  <c r="H43" i="1"/>
  <c r="G43" i="1"/>
  <c r="F43" i="1"/>
  <c r="J41" i="1"/>
  <c r="J40" i="1"/>
  <c r="H40" i="1"/>
  <c r="G40" i="1"/>
  <c r="F40" i="1"/>
  <c r="M39" i="1"/>
  <c r="J39" i="1"/>
  <c r="H39" i="1"/>
  <c r="G39" i="1"/>
  <c r="F39" i="1"/>
  <c r="J38" i="1"/>
  <c r="H38" i="1"/>
  <c r="G38" i="1"/>
  <c r="F38" i="1"/>
  <c r="M37" i="1"/>
  <c r="J37" i="1"/>
  <c r="H37" i="1"/>
  <c r="G37" i="1"/>
  <c r="F37" i="1"/>
  <c r="J36" i="1"/>
  <c r="H36" i="1"/>
  <c r="G36" i="1"/>
  <c r="F36" i="1"/>
  <c r="F35" i="1"/>
  <c r="H34" i="1"/>
  <c r="G34" i="1"/>
  <c r="F34" i="1"/>
  <c r="F33" i="1"/>
  <c r="F32" i="1"/>
  <c r="J31" i="1"/>
  <c r="H31" i="1"/>
  <c r="G31" i="1"/>
  <c r="F31" i="1"/>
  <c r="M30" i="1"/>
  <c r="J30" i="1"/>
  <c r="H30" i="1"/>
  <c r="G30" i="1"/>
  <c r="F30" i="1"/>
  <c r="J28" i="1"/>
  <c r="H28" i="1"/>
  <c r="G28" i="1"/>
  <c r="M27" i="1"/>
  <c r="J27" i="1"/>
  <c r="H27" i="1"/>
  <c r="G27" i="1"/>
  <c r="F27" i="1"/>
  <c r="J26" i="1"/>
  <c r="G26" i="1"/>
  <c r="M25" i="1"/>
  <c r="J25" i="1"/>
  <c r="G25" i="1"/>
  <c r="J24" i="1"/>
  <c r="H24" i="1"/>
  <c r="G24" i="1"/>
  <c r="F24" i="1"/>
  <c r="M23" i="1"/>
  <c r="J23" i="1"/>
  <c r="H23" i="1"/>
  <c r="G23" i="1"/>
  <c r="F23" i="1"/>
  <c r="J21" i="1"/>
  <c r="H21" i="1"/>
  <c r="G21" i="1"/>
  <c r="F21" i="1"/>
  <c r="M20" i="1"/>
  <c r="J20" i="1"/>
  <c r="H20" i="1"/>
  <c r="G20" i="1"/>
  <c r="F20" i="1"/>
  <c r="J19" i="1"/>
  <c r="H19" i="1"/>
  <c r="G19" i="1"/>
  <c r="F19" i="1"/>
  <c r="M18" i="1"/>
  <c r="J18" i="1"/>
  <c r="H18" i="1"/>
  <c r="G18" i="1"/>
  <c r="F18" i="1"/>
  <c r="J17" i="1"/>
  <c r="H17" i="1"/>
  <c r="G17" i="1"/>
  <c r="F17" i="1"/>
  <c r="M16" i="1"/>
  <c r="J16" i="1"/>
  <c r="H16" i="1"/>
  <c r="G16" i="1"/>
  <c r="F16" i="1"/>
  <c r="J15" i="1"/>
  <c r="H15" i="1"/>
  <c r="G15" i="1"/>
  <c r="F15" i="1"/>
  <c r="M14" i="1"/>
  <c r="J14" i="1"/>
  <c r="H14" i="1"/>
  <c r="G14" i="1"/>
  <c r="F14" i="1"/>
  <c r="J13" i="1"/>
  <c r="H13" i="1"/>
  <c r="G13" i="1"/>
  <c r="F13" i="1"/>
  <c r="M12" i="1"/>
  <c r="J12" i="1"/>
  <c r="H12" i="1"/>
  <c r="G12" i="1"/>
  <c r="F12" i="1"/>
  <c r="J11" i="1"/>
  <c r="H11" i="1"/>
  <c r="G11" i="1"/>
  <c r="F11" i="1"/>
  <c r="M10" i="1"/>
  <c r="J10" i="1"/>
  <c r="H10" i="1"/>
  <c r="G10" i="1"/>
  <c r="F10" i="1"/>
  <c r="J9" i="1"/>
  <c r="H9" i="1"/>
  <c r="G9" i="1"/>
  <c r="F9" i="1"/>
  <c r="M8" i="1"/>
  <c r="J8" i="1"/>
  <c r="H8" i="1"/>
  <c r="G8" i="1"/>
  <c r="F8" i="1"/>
  <c r="J7" i="1"/>
  <c r="H7" i="1"/>
  <c r="G7" i="1"/>
  <c r="F7" i="1"/>
  <c r="J6" i="1"/>
  <c r="H6" i="1"/>
  <c r="G6" i="1"/>
  <c r="F6" i="1"/>
  <c r="G3" i="1"/>
  <c r="F3" i="1"/>
  <c r="J2" i="1"/>
  <c r="H2" i="1"/>
  <c r="G2" i="1"/>
  <c r="F2" i="1"/>
</calcChain>
</file>

<file path=xl/sharedStrings.xml><?xml version="1.0" encoding="utf-8"?>
<sst xmlns="http://schemas.openxmlformats.org/spreadsheetml/2006/main" count="1346" uniqueCount="476">
  <si>
    <t>Reference</t>
  </si>
  <si>
    <t>Species</t>
  </si>
  <si>
    <t>Disfavored Synonym</t>
  </si>
  <si>
    <t>n</t>
  </si>
  <si>
    <t>type</t>
  </si>
  <si>
    <t>LGT (mm)</t>
  </si>
  <si>
    <t>a</t>
  </si>
  <si>
    <t>b</t>
  </si>
  <si>
    <t>b'</t>
  </si>
  <si>
    <t>c</t>
  </si>
  <si>
    <t>c'</t>
  </si>
  <si>
    <t>V</t>
  </si>
  <si>
    <t>T</t>
  </si>
  <si>
    <t>STY μm</t>
  </si>
  <si>
    <t>spicules</t>
  </si>
  <si>
    <t>gubernaculum</t>
  </si>
  <si>
    <t>DHV</t>
  </si>
  <si>
    <t>STA</t>
  </si>
  <si>
    <t>m</t>
  </si>
  <si>
    <t>o</t>
  </si>
  <si>
    <t>DGO</t>
  </si>
  <si>
    <t>BBE</t>
  </si>
  <si>
    <t>OVI</t>
  </si>
  <si>
    <t>OGO</t>
  </si>
  <si>
    <t>EXPO</t>
  </si>
  <si>
    <t>DVU</t>
  </si>
  <si>
    <t>ANW</t>
  </si>
  <si>
    <t>LFW</t>
  </si>
  <si>
    <t>TAIL</t>
  </si>
  <si>
    <t>DAN</t>
  </si>
  <si>
    <t>ANT</t>
  </si>
  <si>
    <t>FRW</t>
  </si>
  <si>
    <t>ANP</t>
  </si>
  <si>
    <t>PRO</t>
  </si>
  <si>
    <t>HAB</t>
  </si>
  <si>
    <t>ANL</t>
  </si>
  <si>
    <t>LIP</t>
  </si>
  <si>
    <t>INC</t>
  </si>
  <si>
    <t>TSH</t>
  </si>
  <si>
    <t>KBS</t>
  </si>
  <si>
    <t>APR</t>
  </si>
  <si>
    <t>Tipann</t>
  </si>
  <si>
    <t>Vann</t>
  </si>
  <si>
    <t>ARO</t>
  </si>
  <si>
    <t>Tylenchus davainei Bastian, 1865</t>
  </si>
  <si>
    <t>Female</t>
  </si>
  <si>
    <t>Male</t>
  </si>
  <si>
    <t>Merlinius joctus (Thorne, 1949) Sher, 1974</t>
  </si>
  <si>
    <t>Tetylenchus joctus Thorne, 1949</t>
  </si>
  <si>
    <t>Psilenchus hilarulus de Man, 1921</t>
  </si>
  <si>
    <t>Tylenchorhynchus dubius (Bütschli, 1873) Filipjev, 1936</t>
  </si>
  <si>
    <t>Telotylenchus indicus Siddiqi, 1960</t>
  </si>
  <si>
    <t>Trophurus imperialis Loof, 1956</t>
  </si>
  <si>
    <t>Macrotrophurus arbusticola Loof, 1958</t>
  </si>
  <si>
    <t>Ditylenchus dipsaci (Kühn, 1857) Filipjev, 1936</t>
  </si>
  <si>
    <t>Ditylenchus abieticolus Rühm, 1956</t>
  </si>
  <si>
    <t>Neoditylenchus abieticolus</t>
  </si>
  <si>
    <t>Sychnotylenchus intricati Rühm, 1956</t>
  </si>
  <si>
    <t>Tylenchorhynchus annulatus (Cassidy, 1930) Golden, 1971</t>
  </si>
  <si>
    <t>Chitinotylenchus annulatus (Cassidy, 1930) Filipjev, 1936</t>
  </si>
  <si>
    <t>Anguina tritici (Steinbuch, 1799) Filipjev, 1936</t>
  </si>
  <si>
    <t>Anguina agropyri Kirjanova, 1955</t>
  </si>
  <si>
    <t>Atylenchus decalineatus Cobb, 1913</t>
  </si>
  <si>
    <t>Eutylenchus setiferus (Cobb, 1893) Cobb, 1913</t>
  </si>
  <si>
    <t>Pseudhalenchus minutus Tarjan, 1958</t>
  </si>
  <si>
    <t>Heterodera schachtii A. Schmidt, 1871</t>
  </si>
  <si>
    <t>Meloidogyne exigua Göldi, 1887</t>
  </si>
  <si>
    <t>Meloidodera floridensis Chitwood, Hannon &amp; Esser, 1956</t>
  </si>
  <si>
    <t>Hoplolaimus galeatus (Cobb, 1913)</t>
  </si>
  <si>
    <t>Scutellonema blaberum</t>
  </si>
  <si>
    <t>Rotylenchus uniformis (Thorne, 1949) Loof &amp; Oostenbrink, 1958</t>
  </si>
  <si>
    <t>Helicotylenchus multicinctus (Cobb, 1893) Golden, 1956</t>
  </si>
  <si>
    <t>Rotylenchoides brevis Whitehead, 1958</t>
  </si>
  <si>
    <t>Belonolaimus gracilis Steiner, 1949</t>
  </si>
  <si>
    <t>Trichotylenchus falciformis Whitehead, 1960</t>
  </si>
  <si>
    <t>Dolichodorus heterocephalus Cobb, 1914</t>
  </si>
  <si>
    <t>Pratylenchus pratensis (de Man, 1880) Filipjev, 1936</t>
  </si>
  <si>
    <t>Pratylenchoides crenicauda Winslow, 1958</t>
  </si>
  <si>
    <t>Hoplotylus femina s'Jacob, 1960</t>
  </si>
  <si>
    <t>Radopholus similis (Cobb, 1893) Thorne, 1949</t>
  </si>
  <si>
    <t>Hirschmanniella spinicaudata (Schuurmans Stekhoven, 1944) Luc &amp; Goodey, 1964</t>
  </si>
  <si>
    <t>Hirschmannia spinicaudata (Schuurmans Stekhoven, 1944) Luc &amp; Goodey, 1962</t>
  </si>
  <si>
    <t>Nacobbus dorsalis Thorne &amp; Allen, 1944</t>
  </si>
  <si>
    <t>Rotylenchulus reniformis Linford &amp; Oliveira, 1940</t>
  </si>
  <si>
    <t>Tylenchulus semipenetrans Cobb, 1913</t>
  </si>
  <si>
    <t>Trophotylenchulus floridensis Raski, 1957</t>
  </si>
  <si>
    <t>Sphaeronema californicum</t>
  </si>
  <si>
    <t>Trophotylenchulus arenarius (Raski, 1956) Siddiqi, 1999</t>
  </si>
  <si>
    <t>Trophonema arenarium (Raski, 1956) Raski, 1957</t>
  </si>
  <si>
    <t>Hemicycliophora oostenbrinki Luc, 1958</t>
  </si>
  <si>
    <t>Mesocriconema xenoplax (Raski, 1952) Loof &amp; De Grisse, 1989</t>
  </si>
  <si>
    <t xml:space="preserve">Criconemoides xenoplax </t>
  </si>
  <si>
    <t>Ogma fimbriata (Cobb in Taylor, 1936)</t>
  </si>
  <si>
    <t>Criconema fimbriatum Cobb in Taylor, 1936</t>
  </si>
  <si>
    <t>Paratylenchus goodeyi Oostenbrink, 1953</t>
  </si>
  <si>
    <t>Criconema annuliferum (de Man, 1921) Micoletzky, 1925</t>
  </si>
  <si>
    <t>Macroposthonia annulata sensu Kischke, 1956</t>
  </si>
  <si>
    <t>Neotylenchus abulbosus Steiner, 1931</t>
  </si>
  <si>
    <t>Hexatylus viviparus Goodey, 1926</t>
  </si>
  <si>
    <t>Deladenus durus</t>
  </si>
  <si>
    <t>Nothotylenchus acris Thorne, 1941</t>
  </si>
  <si>
    <t>Boleodorus thylactus Thorne, 1941</t>
  </si>
  <si>
    <t>Thada striata Thorne, 1941</t>
  </si>
  <si>
    <t>Halenchus fucicola (de Man, 1892) Cobb, 1933</t>
  </si>
  <si>
    <t>Neomisticius Siddiqi, 1986</t>
  </si>
  <si>
    <t>Anguillonema rhizomorphoides Ruhm, 1955</t>
  </si>
  <si>
    <t>Nothanguina cecidoplastes (T. Goodey, 1934) Whitehead, 1959</t>
  </si>
  <si>
    <t>Paurodontus gracilis Thorne, 1941</t>
  </si>
  <si>
    <t>Strictylus asymmetricus Thorne, 1941</t>
  </si>
  <si>
    <t>Ecphyadophora tenuissima de Man, 1921</t>
  </si>
  <si>
    <t>Howardula oscinellae (T. Goodey, 1930) Wachek, 1955</t>
  </si>
  <si>
    <t>lotonchium fungorum (Biitschli, 1873) Fil. &amp; Sch. Stek., 1941</t>
  </si>
  <si>
    <t>Anguillulina (Fergusobia) tumifaciens Currie 1937</t>
  </si>
  <si>
    <t>Dotylaphus ruehmi Andrassy, 1958</t>
  </si>
  <si>
    <t>Aphelenchus avenae Bastian, 1865</t>
  </si>
  <si>
    <t>Aphelenchoides ritzemabosi (Schwartz, 1911) Steiner and Buhrer, 1932</t>
  </si>
  <si>
    <t>Seinura winchesi (T. Goodey, 1927) J. B. Goodey, 196o</t>
  </si>
  <si>
    <t>Paraseinura musicola Timm, 1960</t>
  </si>
  <si>
    <t>Paraseinura musicolus Timm, 1961</t>
  </si>
  <si>
    <t>Megadorus megadorus (Allen, 1941) J.B. Goodey, 1960</t>
  </si>
  <si>
    <t>Tylaphelenchus leichenicola Rühm, 1956</t>
  </si>
  <si>
    <t>Laimaphelenchus penardi (Steiner, 1914) Filipjev &amp; Schuurmans Stekhoven, 1941</t>
  </si>
  <si>
    <t>Bursaphelenchus piniperdae Fuchs, 1937</t>
  </si>
  <si>
    <t>Rhadinaphelenchus cocophilus (Cobb, 1919) J. B. Goodey, 1960</t>
  </si>
  <si>
    <t>Cryptaphelenchus macrogaster macrogaster (Fuchs, 1937) Rühm, 1956</t>
  </si>
  <si>
    <t>Cryptaphelenchoides macrobulbosus (Ri.ihm, 1956) J. B. Goodey, 1960</t>
  </si>
  <si>
    <t>Ectaphelenchus goffarti Rühm, 1956</t>
  </si>
  <si>
    <t>Parasitaphelenchus uncinatus</t>
  </si>
  <si>
    <t>Parasitaphelenchus uncinatus (Fuchs, 1929) Fuchs, 1930</t>
  </si>
  <si>
    <t>Ruehmaphelenchus martinii (Ruehm, 1955) Goodey, 1963</t>
  </si>
  <si>
    <t>Peraphelenchus necrophori Wachek, 1955</t>
  </si>
  <si>
    <t>Entaphelenchus oxyteli Wachek, 1955</t>
  </si>
  <si>
    <t>Paraphelenchus myceliophthorus Goodey, 1958</t>
  </si>
  <si>
    <t>Metaphelenchus rhopalocercus Steiner, 1943</t>
  </si>
  <si>
    <t>Anomyctus xenurus Allen, 1940</t>
  </si>
  <si>
    <t>Diplogaster rivalis (Leydig, 1854) Bütschli, 1873</t>
  </si>
  <si>
    <t>Diplogaster micans Schultze in Carus, 1857</t>
  </si>
  <si>
    <t>Diplogastrellus gracilis (Bütschli, 1876) Paramonov, 1952</t>
  </si>
  <si>
    <t>Diplogasteroides carinthiacus (Fuchs, 1931) Rühm in Körner, 1954</t>
  </si>
  <si>
    <t>Rhabdontolaimus carinthiacus (Fuchs, 1931) Filipjev &amp; Schuurmans Stekhoven, 1941</t>
  </si>
  <si>
    <t>Butlerius demani (W. Schneider, 1923) Andrássy, 1984</t>
  </si>
  <si>
    <t>Diplogasteriana demani (W. Schneider, 1923) Meyl, 1961</t>
  </si>
  <si>
    <t>Diplogasteroides halleri (Fuchs, 1915) Rühm, 1956</t>
  </si>
  <si>
    <t>Rhabditolaimus halleri Fuchs, 1915</t>
  </si>
  <si>
    <t>Acrostichus nudicapitatus (Steiner, 1914) Massey, 1962</t>
  </si>
  <si>
    <t>Diplogasteritus nudicapitatus (Steiner, 1914) Paramonov, 1952</t>
  </si>
  <si>
    <t>Diplogastrellus graciloides (Skwarra, 1921) Paramonov, 1952</t>
  </si>
  <si>
    <t>Metadiplogaster inaequidens (Paesler, 1946) Meyl, 1962</t>
  </si>
  <si>
    <t>Demaniella cibourgensis Steiner, 1914</t>
  </si>
  <si>
    <t>Rhabditolaimus leuckarti Fuchs, 1914</t>
  </si>
  <si>
    <t>Dirhabdilaimus leuckarti (Fuchs, 1914) Paramonov &amp; Turlygina, 1955</t>
  </si>
  <si>
    <t>Diplogasteroides spengelii de Man, 1912</t>
  </si>
  <si>
    <t>Goffartia heteroceri Hirschmann, 1952</t>
  </si>
  <si>
    <t>Allodiplogaster henrichae (Sachs, 1950) Paramonov &amp; Solbolev in Skrjabin et al. 1954</t>
  </si>
  <si>
    <t>Paroigolaimella coprophages (de Man, 1876) Paramonov, 1952</t>
  </si>
  <si>
    <t>Pristionchus lheritieri (Maupas, 1919) Paramonov, 1952</t>
  </si>
  <si>
    <t>Mesodiplogaster lheritieri (Maupas, 1919) Goodey, 1963</t>
  </si>
  <si>
    <t>Oigolaimella longicauda (Claus, 1862) Fürst von Lieven, 2003</t>
  </si>
  <si>
    <t>Hemidiplogaster agilis (Skwarra, 1921) Goodey, 1963</t>
  </si>
  <si>
    <t>Mononchoides striatus (Bütschli, 1876) Goodey, 1963</t>
  </si>
  <si>
    <t>Fictor similis (Bütschli, 1876) Goodey, 1963</t>
  </si>
  <si>
    <t>Koerneria goffarti (Körner, 1954) Meyl, 1960</t>
  </si>
  <si>
    <t>Fictor levidentus (Weingärtner, 1955) Sudhaus &amp; Fürst von Lieven, 2003</t>
  </si>
  <si>
    <t>Prosodontus levidentus (Weingärtner, 1955) Goodey, 1963</t>
  </si>
  <si>
    <t>Micoletzkya buetschlii (Fuchs, 1915) Baker, 1962</t>
  </si>
  <si>
    <t>Butlerius butleri Goodey, 1929</t>
  </si>
  <si>
    <t>Neodiplogaster pissodis (Fuchs, 1930) Goodey, 1951</t>
  </si>
  <si>
    <t>Odontopharynx longicaudata de Man, 1912</t>
  </si>
  <si>
    <t>Tylopharynx foetida (Bütschli, 1874) Goodey, 1928</t>
  </si>
  <si>
    <t>Tylopharynx foetidus (Biitschli, 1874) Sachs, 1950</t>
  </si>
  <si>
    <t>Rhabditolaimus macrolaimus (A. Schneider, 1866) Susoy &amp; Herrmann, 2013</t>
  </si>
  <si>
    <t>Cylindrocorpus longistoma (Stefanski, 1922) Goodey, 1939</t>
  </si>
  <si>
    <t>Rhabditolaimus ulmi (Goodey, 1930) Susoy &amp; Herrmann, 2013</t>
  </si>
  <si>
    <t>Goodeyus ulmi (Goodey, 1930) Chitwood, 1933</t>
  </si>
  <si>
    <t>Rhabditolaimus pellucidus (Cobb, 1920) Susoy &amp; Herrmann, 2013</t>
  </si>
  <si>
    <t>Myctolaimus pellucidus Cobb, 1920</t>
  </si>
  <si>
    <t>Pseudodiplogasteroides compositus Körner, 1954</t>
  </si>
  <si>
    <t>Pseudodiplogasteroides saperdae Rühm, 1956</t>
  </si>
  <si>
    <t>Protodiplogasteroides saperdae (Rühm, 1956) Paramonov, 1957</t>
  </si>
  <si>
    <t>Oscheius insectivorus (Körner, 1954)</t>
  </si>
  <si>
    <t>Rhabditis insectivora Körner, 1954</t>
  </si>
  <si>
    <t>Choriorhabditis koerneri (Osche, 1952)</t>
  </si>
  <si>
    <t>Rhabditis (Choriorhabditis) koerneri Osche, 1952</t>
  </si>
  <si>
    <t>Cephaloboides musicola (Rahm, 1928) Massey, 1974</t>
  </si>
  <si>
    <t>Rhabditis (Cephaloboides) musicola Rahm, 1928</t>
  </si>
  <si>
    <t>Rhabditella axei (Cobbold, 1884) Chitwood, 1933</t>
  </si>
  <si>
    <t>Rhabditis (Rhabditella) axei (Cobbold, 1884) Dougherty, 1955</t>
  </si>
  <si>
    <t>Buetschlinema friderici (Hirschmann in Osche, 1952) Sudhaus, 2011</t>
  </si>
  <si>
    <t>Rhabditis (Pellioditis) friderici (Hirschmann in Osche, 1952) Dougherty, 1955</t>
  </si>
  <si>
    <t>Pelodera teres A. Schneider, 1866</t>
  </si>
  <si>
    <t>Pelodera (Pelodera) teres Schneider, 1866 (Dougherty, 1955)</t>
  </si>
  <si>
    <t>Cruznema tripartitum (von Linstow, 1906) Zullini, 1982</t>
  </si>
  <si>
    <t>Pelodera (Cruznema) lambdiensis (Maupas, 1919) Dougherty, 1953</t>
  </si>
  <si>
    <t>Pelodera serrata (Körner in Osche, 1952) Dougherty, 1955</t>
  </si>
  <si>
    <t>Pelodera (Coarctadera) serrata (Körner in Osche, 1952) Dougherty, 1955</t>
  </si>
  <si>
    <t>Pelodera cylindrica (Cobb, 1898)</t>
  </si>
  <si>
    <t>Pelodera (Cylindridera) cylindrica (Cobb, 1898) Dougherty, 1953</t>
  </si>
  <si>
    <t>Rhabditoides longispina (Reiter, 1928) Dougherty, 1953</t>
  </si>
  <si>
    <t>Oscheius dolichura (A. Schneider, 1866) Sudhaus &amp; Hooper, 1994</t>
  </si>
  <si>
    <t>Caenorhabditis dolichura (A. Schneider, 1866) Dougherty, 1955</t>
  </si>
  <si>
    <t>Mesorhabditis spiculigera (Steiner, 1936) Dougherty, 1953</t>
  </si>
  <si>
    <t>Teratorhabditis dentifera (Völk, 1950) Dougherty, 1953</t>
  </si>
  <si>
    <t>Diploscapteroides dacchensis (Timm, 1959) Andrássy, 1983</t>
  </si>
  <si>
    <t>Cheilorhabditis dacchensis Timm, 1959</t>
  </si>
  <si>
    <t>Odontorhabditis musicola Timm, 1959</t>
  </si>
  <si>
    <t>Rhabditonema propinquum Körner, 1954</t>
  </si>
  <si>
    <t>Poikilolaimus micoletzkyi Fuchs, 1930</t>
  </si>
  <si>
    <t>Poikilolaimus piniperdae Fuchs, 1930</t>
  </si>
  <si>
    <t>Protorhabditis xylocola (Körner, 1954) Dougherty, 1955</t>
  </si>
  <si>
    <t>Parasitorhabditis obtusa (Fuchs, 1915) Chitwood &amp; Chitwood, 1950</t>
  </si>
  <si>
    <t>Neorhabditis flagellicaudata (Schuurmans Stekhoven, 1951) Schuurmans Stekhoven, 1954</t>
  </si>
  <si>
    <t>Alloionema appendiculatum Schneider, 1859 (large form)</t>
  </si>
  <si>
    <t>Alloionema appendiculata Schneider, 1859</t>
  </si>
  <si>
    <t>Alloionema appendiculatum Schneider, 1859 (small form)</t>
  </si>
  <si>
    <t>Rhabditophanes schneideri (Bütschli, 1873) Goodey, 1953</t>
  </si>
  <si>
    <t>Diploscapter lycostoma Völk, 1950</t>
  </si>
  <si>
    <t>Bunonema richtersi Jägerskiöld, 1905</t>
  </si>
  <si>
    <t>Rhodolaimus stoeckherti (Sachs, 1949) Andrássy, 1958</t>
  </si>
  <si>
    <t>Rhodolaimus goffarti (Sachs, 1949) Andrássy, 1971</t>
  </si>
  <si>
    <t>Stammeria goffarti (Sachs, 1949) Andrássy, 1958</t>
  </si>
  <si>
    <t>Craspedonema zeelandicum de Man, 1926</t>
  </si>
  <si>
    <t>Aspidonema stammeri (Sachs, 1949) Andrássy, 1958</t>
  </si>
  <si>
    <t>Serronema dentatum (Paesler, 1957) Goodey, 1963</t>
  </si>
  <si>
    <t>Pterygorhabditis pakistanensis Timm, 1957</t>
  </si>
  <si>
    <t>Brevibucca saprophaga Goodey, 1935</t>
  </si>
  <si>
    <t>Panagrolaimus fuchsi Rühm, 1956</t>
  </si>
  <si>
    <t>Plectonchus cuniculari Fuchs, 1930</t>
  </si>
  <si>
    <t>Panagrobelus incisus - Thorne, 1939</t>
  </si>
  <si>
    <t>Macrolaimus hamatus Thorne, 1937</t>
  </si>
  <si>
    <t>Anguilluloides tremebunda Goodey, 1963</t>
  </si>
  <si>
    <t>Anguillula dorsobidentata Rühm, 1956</t>
  </si>
  <si>
    <t>Panagrellus dorsobidentata (Ruhm, 1956)</t>
  </si>
  <si>
    <t>Cuticonema vivipara Sanwal, 1959</t>
  </si>
  <si>
    <t>Micronema minutum Korner, 1954</t>
  </si>
  <si>
    <t>Trilabiatus lignicolus (Korner, 1954)</t>
  </si>
  <si>
    <t>Turbatrix aceti (Müller, 1783) Peters, 1927</t>
  </si>
  <si>
    <t>Myolaimus heterurus Cobb, 1920</t>
  </si>
  <si>
    <t>Chambersiella rodens Cobb, 1920</t>
  </si>
  <si>
    <t>Cephalobus persegnis Bastian, 1865</t>
  </si>
  <si>
    <t>Eucephalobus oxyuroides (de Man, 1876) Steiner, 1936</t>
  </si>
  <si>
    <t>Acrobeloides buetschlii (de Man, 1884) Steiner &amp; Buhrer, 1933</t>
  </si>
  <si>
    <t>Placodira lobata Thorne, 1937</t>
  </si>
  <si>
    <t>Chiloplacus symmetricus (Thorne, 1925) Thorne, 1937</t>
  </si>
  <si>
    <t>Zeldia punctata (Thorne, 1925) Thorne, 1937</t>
  </si>
  <si>
    <t>Cervidellus cervus (Thorne, 1925) Thorne, 1937</t>
  </si>
  <si>
    <t>Stegelleta incisa (Thorne, 1937) Thorne, 1938</t>
  </si>
  <si>
    <t>Acrobeles ciliatus von Linstow, 1877</t>
  </si>
  <si>
    <t>Teratocephalus terrestris (Bütschli, 1873) de Man, 1876</t>
  </si>
  <si>
    <t>Euteratocephalus palustris (de Man, 1880) Andrássy, 1958</t>
  </si>
  <si>
    <t>Anaplectus granulosus (Bastian, 1865) De Coninck &amp; Schuurmans Stekhoven, 1933</t>
  </si>
  <si>
    <t>Plectus granulosus Bastian, 1865</t>
  </si>
  <si>
    <t>Paraplectonema pedunculatum (Hofmänner, 1913) Strand, 1934</t>
  </si>
  <si>
    <t>Paraplectonema pedunculata (Hofmanner, 1913) Strand, 1934</t>
  </si>
  <si>
    <t>Anonchus mirabilis (Hofmänner in Hofmänner &amp; Menzel, 1914) Chitwood &amp; Chitwood, 1936</t>
  </si>
  <si>
    <t>Chronogaster longicollis (Daday, 1899) Andrássy, 1958</t>
  </si>
  <si>
    <t>Rhabdolaimus limnophilus (Soós, 1937)</t>
  </si>
  <si>
    <t>Pseudorhabdolaimus limnophilus Soós, 1937</t>
  </si>
  <si>
    <t>Tylocephalus auriculatus (Bütschli, 1873) Anderson, 1966</t>
  </si>
  <si>
    <t>Wilsonema auriculatum (Bütschli, 1873) Cobb, 1913</t>
  </si>
  <si>
    <t>Tylocephalus bacillivorus Crossman, 1933</t>
  </si>
  <si>
    <t>Paradoxolaimus demani Kreis, 1924</t>
  </si>
  <si>
    <t>Leptolaimus papilliger de Man, 1876</t>
  </si>
  <si>
    <t>Rhabdolaimus terrestris de Man, 1880</t>
  </si>
  <si>
    <t>Haliplectus bickneri Chitwood, 1956</t>
  </si>
  <si>
    <t>Aphanolaimus attentus de Man, 1880</t>
  </si>
  <si>
    <t>Paraphanolaimus behningi Micoletzky, 1923</t>
  </si>
  <si>
    <t>Dintheria tenuissima de Man, 1921</t>
  </si>
  <si>
    <t>Deontolaimus papillatus de Man, 1880</t>
  </si>
  <si>
    <t>Bastiania gracilis de Man, 1876</t>
  </si>
  <si>
    <t>Cylindrolaimus melancholicus de Man, 1880</t>
  </si>
  <si>
    <t>Domorganus macronephriticus Goodey, 1946</t>
  </si>
  <si>
    <t>Gymnolaimus exilis (Cobb, 1893) Cobb, 1913</t>
  </si>
  <si>
    <t>Aulolaimus meyli Loof, 1961</t>
  </si>
  <si>
    <t>Pseudoaulolaimus anchilocaudatus Imamura, 1931</t>
  </si>
  <si>
    <t>Isolaimium papillatum Cobb, 1920</t>
  </si>
  <si>
    <t>Colpurella fontinalis Cobb, 1920</t>
  </si>
  <si>
    <t>Rogerus orientalis (Hoeppli &amp; Chu, 1932) Hoeppli &amp; Chu, 1934</t>
  </si>
  <si>
    <t>Greenia orientalis Hoeppli &amp; Chu, 1932</t>
  </si>
  <si>
    <t>Desmoscolex aquaedulcis Stammer, 1935</t>
  </si>
  <si>
    <t>Eumonhystera vulgaris (de Man, 1880) Andrássy, 1981</t>
  </si>
  <si>
    <t>Monhystera vulgaris de Man, 1880</t>
  </si>
  <si>
    <t>Sinanema ginlingensis (Hoeppli &amp; Chu, 1932) Andrássy, 1960</t>
  </si>
  <si>
    <t>Monhystrella ginlingensis Hoeppli &amp; Chu, 1932</t>
  </si>
  <si>
    <t>Prismatolaimus verrucosus Hirschmann, 1952</t>
  </si>
  <si>
    <t>Diplolaimella allgeni Schneider, 1937</t>
  </si>
  <si>
    <t>Diplolaimelloides islandicus (De Coninck, 1943) Meyl, 1954</t>
  </si>
  <si>
    <t>Diplolaimelloides islandica (de Coninck, 1943) Meyl, 1954</t>
  </si>
  <si>
    <t>Hofmaenneria niddensis (Skwarra, 1921) Schneider, 1940</t>
  </si>
  <si>
    <t>Desmolaimus zeelandicus de Man, 1880</t>
  </si>
  <si>
    <t>Sphaerolaimus gracilis de Man, 1876</t>
  </si>
  <si>
    <t>Neochromadora izhorica (Filipjev, 1929) Schuurmans-Stekhoven, 1935</t>
  </si>
  <si>
    <t>Chromadorella izhorica Filipjev, 1929</t>
  </si>
  <si>
    <t>Chromadorina viridis (Linstow, 1876) Wieser, 1954</t>
  </si>
  <si>
    <t>Dichromadora geophila (de Man, 1876) Kreis, 1929</t>
  </si>
  <si>
    <t>Hypodontolaimus geophilus (de Man, 1876)</t>
  </si>
  <si>
    <t>Prochromadora orleji (de Man, 1880) Filipjev, 1922</t>
  </si>
  <si>
    <t>Prochromadora oerleyi (de Man, 1881) Filipjev, 1930</t>
  </si>
  <si>
    <t>Punctodora ratzeburgensis (Linstow, 1876) Filipjev, 1929</t>
  </si>
  <si>
    <t>Chromadorita leuckarti (de Man, 1876) Filipjev, 1929</t>
  </si>
  <si>
    <t>Paracyatholaimus intermedius (de Man, 1880) Micoletzky, 1922</t>
  </si>
  <si>
    <t>Achromadora ruricola (De Man, 1880) Micoletzky, 1924</t>
  </si>
  <si>
    <t>Ethmolaimus pratensis de Man, 1880</t>
  </si>
  <si>
    <t>Prodesmodora circulata Micoletzky, 1925</t>
  </si>
  <si>
    <t>Odontolaimus chlorurus de Man, 1880</t>
  </si>
  <si>
    <t>Udonchus tenuicaudatus Cobb, 1913</t>
  </si>
  <si>
    <t>Monochromadora monhysteroides Schneider, 1937</t>
  </si>
  <si>
    <t>Aulolaimus filiformis (Timm, 1957) Jairajpuri &amp; Hooper, 1968</t>
  </si>
  <si>
    <t>Pandurinema filiformis Timm, 1957</t>
  </si>
  <si>
    <t>Choanolaimus psammophilus de Man, 1880</t>
  </si>
  <si>
    <t>Microlaimus globiceps de Man, 1880</t>
  </si>
  <si>
    <t>Domorganus bathybius (Schneider, 1943) Lorenzen, 1981</t>
  </si>
  <si>
    <t>Ohridia bathybia Schneider, 1943</t>
  </si>
  <si>
    <t>Enoploides fluviatilis Micoletzky, 1923</t>
  </si>
  <si>
    <t>Halalaimus stammeri Schneider, 1940</t>
  </si>
  <si>
    <t>uncertain &gt; taxon inquirendum (Description based on three females)</t>
  </si>
  <si>
    <t>Aulolaimus aquaedulcis (W. Schneider, 1940) Lorenzen, 1981</t>
  </si>
  <si>
    <t>Thalassoalaimus aquaedulcis W. Schneider, 1940</t>
  </si>
  <si>
    <t>Adoncholaimus thalassophygas (de Man, 1876) Filipjev, 1918</t>
  </si>
  <si>
    <t>Oncholaimus thalassophygas de Man, 1876</t>
  </si>
  <si>
    <t>Onchulus longicauda (Daday, 1899) Andrássy, 1964</t>
  </si>
  <si>
    <t>Onchulus longicaudatus Cobb, 1920</t>
  </si>
  <si>
    <t>Mononchulus ventralis Cobb, 1918</t>
  </si>
  <si>
    <t>Paraphanolaimus indicus (Kreis, 1936) Andrássy, 1976</t>
  </si>
  <si>
    <t>Bathyonchus indicus Kreis, 1936</t>
  </si>
  <si>
    <t>Eurystomina terricola (de Man, 1907) Filipjev, 1921</t>
  </si>
  <si>
    <t>Enoplochilus obtusicaudatus Kreis, 1932</t>
  </si>
  <si>
    <t>Oionchus obtusicaudatus (Kreis, 1932) Thorne, 1935</t>
  </si>
  <si>
    <t>Tripyla affinis de Man, 1880</t>
  </si>
  <si>
    <t>Tobrilus gracilis (Bastian, 1865) Andrássy, 1959</t>
  </si>
  <si>
    <t>Ironus ignavus Bastian, 1865</t>
  </si>
  <si>
    <t>Ironus ignavus Bast., 1865</t>
  </si>
  <si>
    <t>Cryptonchus abnormis (Allgén, 1933) Schuurmans Stekhoven, 1951</t>
  </si>
  <si>
    <t>Dorylaimus stagnalis Dujardin, 1845</t>
  </si>
  <si>
    <t>Mesodorylaimus mesonyctius (Kreis, 1930) Andrássy, 1959</t>
  </si>
  <si>
    <t>Eudorylaimus carteri (Bastian, 1865) Andrássy, 1959</t>
  </si>
  <si>
    <t>Labronema ferox Thorne, 1939</t>
  </si>
  <si>
    <t>Chrysonema aurum Thorne, 1929</t>
  </si>
  <si>
    <t>Nygolaimoides borborophilus (de Man, 1876)</t>
  </si>
  <si>
    <t>Thornia steatopyga (Thorne &amp; Swanger, 1936)</t>
  </si>
  <si>
    <t>Pungentus thornei T. Goodey, 1943</t>
  </si>
  <si>
    <t>Discolaimus major Thorne, 1939</t>
  </si>
  <si>
    <t>Discolaimium cylindricum Thorne, 1939</t>
  </si>
  <si>
    <t>Aporcelaimus superbus (de Man, 1880) Goodey, 1951</t>
  </si>
  <si>
    <t>Drepanodorus leptocephalus</t>
  </si>
  <si>
    <t>Amphidorylaimus infecundus (Cobb in Thorne &amp; Swanger, 1936) Andrássy, 1960</t>
  </si>
  <si>
    <t>Prodorylaimus longicaudatus (Bütschli, 1874) Andrássy, 1959</t>
  </si>
  <si>
    <t>uncertain &gt; taxon inquirendum</t>
  </si>
  <si>
    <t>Thornenema lissum Thorne, 1939</t>
  </si>
  <si>
    <t>Meylonema buchneri (Meyl, 1953)</t>
  </si>
  <si>
    <t>Thorneella teres (Thorne &amp; Swanger, 1936) Andrássy, 1960</t>
  </si>
  <si>
    <t>Lordellonema bauruense (Lordello, 1957) Andrássy, 1960</t>
  </si>
  <si>
    <t>Actinolaimus radiatus Cobb, 1913</t>
  </si>
  <si>
    <t>Paractinolaimus microdentatus (Thorne, 1939) Meyl, 1957</t>
  </si>
  <si>
    <t>Actinolaimoides tobleri (Menzel &amp; Micol. in Micol., 1925) Meyl, 1957</t>
  </si>
  <si>
    <t>Metactinolaimus leloupi Meyl, 1957</t>
  </si>
  <si>
    <t>Trachypleurosum conformis</t>
  </si>
  <si>
    <t>Trachypleurosum conformis Schneider, 1935) Andrassy, 1959</t>
  </si>
  <si>
    <t>Carcharolaimus teres Thorne, 1939</t>
  </si>
  <si>
    <t>Mylodiscus nanus Thorne, 1939</t>
  </si>
  <si>
    <t>Antholaimus truncatus Cobb, 1913</t>
  </si>
  <si>
    <t>Tylencholaimus teres Thorne, 1939</t>
  </si>
  <si>
    <t>Enchodelus macrodorus (de Man, 1880) Thorne, 1939</t>
  </si>
  <si>
    <t>Discomyctus cephalatus Thorne, 1939</t>
  </si>
  <si>
    <t>Longidorus caespiticola Hooper, 1961</t>
  </si>
  <si>
    <t>Xiphinema radicicola T. Goodey, 1936</t>
  </si>
  <si>
    <t>Longidorella parva Thorne, 1939</t>
  </si>
  <si>
    <t>Xiphinemella ornatum (Loos, 1949) Loos, 1950</t>
  </si>
  <si>
    <t>Miranema gracile Thorne, 1939</t>
  </si>
  <si>
    <t>Utahnema tenuidens Thorne, 1939</t>
  </si>
  <si>
    <t>Dorylaimellus mirus (Kirjanova, 1951) Andrássy, 1967</t>
  </si>
  <si>
    <t>Opailaimus mirus Kirjanova, 1951</t>
  </si>
  <si>
    <t>Discolaimus otiosus (Kirjanova, 1951) Andrássy, 1967</t>
  </si>
  <si>
    <t>Ottolaimus otiosus Kirjanova, 1951</t>
  </si>
  <si>
    <t>Juv</t>
  </si>
  <si>
    <t>Belondira apitica Thorne, 1939</t>
  </si>
  <si>
    <t>Axonchium amplicolle Cobb, 1920</t>
  </si>
  <si>
    <t>Oxydirus oxycephaloides (de Man, 1921) Thorne, 1939</t>
  </si>
  <si>
    <t>Swangeria fragilis Thorne, 1939</t>
  </si>
  <si>
    <t>Dorylaimellus (Dorylaimellus) demani Goodey, 1963 (Jairajpuri &amp; Ahmad, 1980)</t>
  </si>
  <si>
    <t>Dorylaimellus demani Goodey, 1963</t>
  </si>
  <si>
    <t>Aquatides aquaticus (Thorne, 1930) Heyns, 1968</t>
  </si>
  <si>
    <t>Nygolaimus aquaticus Thorne, 1930</t>
  </si>
  <si>
    <t>Sectonema ventrale Thorne, 1930</t>
  </si>
  <si>
    <t>Sectonema rotundicauda T. Goodey, 1951</t>
  </si>
  <si>
    <t>Nygellus clavatus Thorne, 1939</t>
  </si>
  <si>
    <t>Nygolaimellus abnormis Loos, 1949</t>
  </si>
  <si>
    <t>Leptonchus granulosus Cobb, 1920</t>
  </si>
  <si>
    <t>Proleptonchus aestivus Lordello, 1955</t>
  </si>
  <si>
    <t>Dorylaimoides teres Thorne &amp; Swanger, 1936</t>
  </si>
  <si>
    <t>Doryllium uniforme Cobb, 1920</t>
  </si>
  <si>
    <t>Tylencholaimellus affinis (Brakenhoff, 1914) Thorne, 1939</t>
  </si>
  <si>
    <t>Funaria thornei van der Linde, 1938</t>
  </si>
  <si>
    <t>Campydora demonstrans Cobb, 1920</t>
  </si>
  <si>
    <t>Tyleptus projectus Thorne, 1939</t>
  </si>
  <si>
    <t>Aulolaimoides elegans Micoletzky, 1915</t>
  </si>
  <si>
    <t>Stephanium lingulatum Rahm, 1938</t>
  </si>
  <si>
    <t>Clarkus papillatus (Bastian, 1865) Jairajpuri, 1970</t>
  </si>
  <si>
    <t>Mononchus papillatus Bastian, 1865</t>
  </si>
  <si>
    <t>Prionchulus muscorum (Dujardin, 1845) Cobb, 1916</t>
  </si>
  <si>
    <t>Sporonchulus dentatus Cobb, 1917</t>
  </si>
  <si>
    <t>Judonchulus recessus (Cobb, 1917) Andrássy, 1958</t>
  </si>
  <si>
    <t>Granonchulus schulzi (Meyl, 1955) Andrássy, 1958</t>
  </si>
  <si>
    <t>Mylonchulus brachyuris (Bütschli, 1873) Cobb, 1917</t>
  </si>
  <si>
    <t>Brachonchulus brachyuroides (Micoletzky, 1925) Andrássy, 1958</t>
  </si>
  <si>
    <t>Cobbonchus pounamua Clark, 1960</t>
  </si>
  <si>
    <t>Iotonchulus ophiocercus (Clark, 1961) Andrássy, 1993</t>
  </si>
  <si>
    <t>Iotonchus ophiocercus Clark, 1961</t>
  </si>
  <si>
    <t>Anatonchus tridentatus (de Man, 1876) De Coninck, 1939</t>
  </si>
  <si>
    <t>Miconchus digiturus (Cobb, 1893) Andrássy, 1958</t>
  </si>
  <si>
    <t>Bathyodontus cylindricus Fielding, 1950</t>
  </si>
  <si>
    <t>Oionchus obtusus Cobb, 1913</t>
  </si>
  <si>
    <t>Alaimus primitivus de Man, 1880</t>
  </si>
  <si>
    <t>Amphidelus lissus Thorne, 1939</t>
  </si>
  <si>
    <t>Diphtherophora communis de Man, 1880</t>
  </si>
  <si>
    <t>Tylolaimophorus cylindricum (Cobb, 1920)</t>
  </si>
  <si>
    <t>Trichodorus primitivus (de Man, 1880)</t>
  </si>
  <si>
    <t>Mermis nigrescens Dujardin, 1842</t>
  </si>
  <si>
    <t>Metric</t>
  </si>
  <si>
    <t>Description</t>
  </si>
  <si>
    <t>Character type</t>
  </si>
  <si>
    <t>Pop</t>
  </si>
  <si>
    <t>Population name</t>
  </si>
  <si>
    <t>Code</t>
  </si>
  <si>
    <t>Group</t>
  </si>
  <si>
    <t>Morphological group</t>
  </si>
  <si>
    <t>LGT</t>
  </si>
  <si>
    <t>Body length</t>
  </si>
  <si>
    <t>Measurement</t>
  </si>
  <si>
    <t>Distance head / vulva</t>
  </si>
  <si>
    <t>DHV/LGT*100</t>
  </si>
  <si>
    <t>Ratio</t>
  </si>
  <si>
    <t>STY</t>
  </si>
  <si>
    <t>Stylet length</t>
  </si>
  <si>
    <t>Stylet conus length</t>
  </si>
  <si>
    <t>STA/STY</t>
  </si>
  <si>
    <t>Distance stylet base / dorsal gland opening</t>
  </si>
  <si>
    <t>Distance head / esophageal bulb</t>
  </si>
  <si>
    <t>Distance head / esophago-intestinal valve</t>
  </si>
  <si>
    <t>Distance head / end of esophageal glands</t>
  </si>
  <si>
    <t>Distance head / excretory pore</t>
  </si>
  <si>
    <t>Body diameter at vulva level</t>
  </si>
  <si>
    <t>LGT / DVU</t>
  </si>
  <si>
    <t>Width of body annuli</t>
  </si>
  <si>
    <t>Width of lateral field</t>
  </si>
  <si>
    <t>Tail length</t>
  </si>
  <si>
    <t>Body diameter at anus level</t>
  </si>
  <si>
    <t>LGT / TAIL</t>
  </si>
  <si>
    <t>TAIL / DAN</t>
  </si>
  <si>
    <t>Number of tail annules</t>
  </si>
  <si>
    <t>Count</t>
  </si>
  <si>
    <t>Width of labial framework</t>
  </si>
  <si>
    <t>Position of phasmids (number of body annuli from anus)</t>
  </si>
  <si>
    <t>Length of tail terminal process</t>
  </si>
  <si>
    <t>Habitus (number of degrees of degrees described by the spiraled body)</t>
  </si>
  <si>
    <t>Number of lip annules</t>
  </si>
  <si>
    <t>Lip shape (H= hemispherical; T= truncate)</t>
  </si>
  <si>
    <t>Qualitative</t>
  </si>
  <si>
    <t>Type of fusion of incisures on tail (en V-, Y-, µ-, U-, or m-shaped)</t>
  </si>
  <si>
    <t>Tail shape (P = with terminal process as in H. pseudorobustus; D = dorsal and ventral sides joining at an angle as in H. dihystera) etc</t>
  </si>
  <si>
    <t>Shape of stylet knobs (I = indented; F =  flat; R = roundfed; S = sloping)</t>
  </si>
  <si>
    <t>Annulation of terminal process  (Y/N = yes or no)</t>
  </si>
  <si>
    <t>Type of terminal annuli  (R = regular;  S = smaller)</t>
  </si>
  <si>
    <t>Type of ventral annuli ( R = regular;  S = smooth)</t>
  </si>
  <si>
    <t>Areolation of lateral field (Y/N = yes or no)</t>
  </si>
  <si>
    <t>DIS</t>
  </si>
  <si>
    <t>Labial disc present (Y/N = yes or no)</t>
  </si>
  <si>
    <t xml:space="preserve"> body length / distance from anterior to esophago-intestinal valve</t>
  </si>
  <si>
    <t xml:space="preserve">b' </t>
  </si>
  <si>
    <t xml:space="preserve"> body length / distance from anterior to base of esophageal glands</t>
  </si>
  <si>
    <t>% length of male gonad relative to body length</t>
  </si>
  <si>
    <t>Host</t>
  </si>
  <si>
    <t>Locality</t>
  </si>
  <si>
    <t>Country</t>
  </si>
  <si>
    <t>PRATYLENCHUS (NEMATODA: PRATYLENCHIDAE): DIAGNOSIS BIOLOGY, PATHOGENICITY AND MANAGEMENT, Pablo Castillo and Nicola Vovlas 2007</t>
  </si>
  <si>
    <t>v1</t>
  </si>
  <si>
    <t>v2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</si>
</sst>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0"/>
    <numFmt numFmtId="165" formatCode="0.0"/>
  </numFmts>
  <fonts count="4" x14ac:knownFonts="1">
    <font>
      <sz val="10"/>
      <color rgb="FF000000"/>
      <name val="Arial"/>
      <scheme val="minor"/>
    </font>
    <font>
      <sz val="10"/>
      <color theme="1"/>
      <name val="Times New Roman"/>
    </font>
    <font>
      <sz val="10"/>
      <color theme="1"/>
      <name val="Arial"/>
    </font>
    <font>
      <sz val="10"/>
      <color theme="1"/>
      <name val="Arial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3">
    <xf numFmtId="0" fontId="0" fillId="0" borderId="0" xfId="0"/>
    <xf numFmtId="2" fontId="1" fillId="0" borderId="0" xfId="0" applyNumberFormat="1" applyFont="1"/>
    <xf numFmtId="164" fontId="1" fillId="0" borderId="0" xfId="0" applyNumberFormat="1" applyFont="1"/>
    <xf numFmtId="4" fontId="1" fillId="0" borderId="0" xfId="0" applyNumberFormat="1" applyFont="1"/>
    <xf numFmtId="165" fontId="1" fillId="0" borderId="0" xfId="0" applyNumberFormat="1" applyFont="1"/>
    <xf numFmtId="0" fontId="1" fillId="0" borderId="0" xfId="0" applyFont="1"/>
    <xf numFmtId="0" fontId="2" fillId="0" borderId="0" xfId="0" applyFont="1"/>
    <xf numFmtId="164" fontId="2" fillId="0" borderId="0" xfId="0" applyNumberFormat="1" applyFont="1"/>
    <xf numFmtId="0" fontId="2" fillId="0" borderId="0" xfId="0" applyFont="1" applyAlignment="1">
      <alignment vertical="top" wrapText="1"/>
    </xf>
    <xf numFmtId="4" fontId="2" fillId="0" borderId="0" xfId="0" applyNumberFormat="1" applyFont="1"/>
    <xf numFmtId="0" fontId="3" fillId="0" borderId="0" xfId="0" applyFont="1"/>
    <xf numFmtId="4" fontId="3" fillId="0" borderId="0" xfId="0" applyNumberFormat="1" applyFont="1"/>
    <xf numFmtId="0" fontId="2" fillId="0" borderId="0" xfId="0" applyFont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152400</xdr:colOff>
      <xdr:row>2</xdr:row>
      <xdr:rowOff>-38100</xdr:rowOff>
    </xdr:from>
    <xdr:ext cx="9296400" cy="10915650"/>
    <xdr:pic>
      <xdr:nvPicPr>
        <xdr:cNvPr id="2" name="image1.png" title="Imag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T993"/>
  <sheetViews>
    <sheetView tabSelected="1" workbookViewId="0">
      <pane ySplit="1" topLeftCell="A2" activePane="bottomLeft" state="frozen"/>
      <selection pane="bottomLeft" activeCell="N6" sqref="N6"/>
    </sheetView>
  </sheetViews>
  <sheetFormatPr defaultColWidth="12.5703125" defaultRowHeight="15" customHeight="1" x14ac:dyDescent="0.2"/>
  <cols>
    <col min="1" max="1" width="3.42578125" customWidth="1"/>
    <col min="2" max="2" width="42.42578125" customWidth="1"/>
    <col min="3" max="3" width="27.42578125" customWidth="1"/>
    <col min="4" max="6" width="8.28515625" customWidth="1"/>
    <col min="7" max="7" width="5.7109375" customWidth="1"/>
    <col min="8" max="8" width="4.5703125" customWidth="1"/>
    <col min="9" max="10" width="4.42578125" customWidth="1"/>
    <col min="11" max="15" width="4.7109375" customWidth="1"/>
    <col min="16" max="16" width="7.85546875" customWidth="1"/>
    <col min="17" max="19" width="5" customWidth="1"/>
    <col min="20" max="20" width="4.85546875" customWidth="1"/>
    <col min="21" max="21" width="4.42578125" customWidth="1"/>
    <col min="22" max="23" width="4.7109375" customWidth="1"/>
    <col min="24" max="24" width="4.42578125" customWidth="1"/>
    <col min="25" max="25" width="4.28515625" customWidth="1"/>
    <col min="26" max="26" width="4.85546875" customWidth="1"/>
    <col min="27" max="27" width="4.5703125" customWidth="1"/>
    <col min="28" max="28" width="4.85546875" customWidth="1"/>
    <col min="29" max="29" width="5.5703125" customWidth="1"/>
    <col min="30" max="30" width="5.42578125" customWidth="1"/>
    <col min="31" max="31" width="4.85546875" customWidth="1"/>
    <col min="32" max="32" width="5" customWidth="1"/>
    <col min="33" max="33" width="5.140625" customWidth="1"/>
    <col min="34" max="34" width="5.28515625" customWidth="1"/>
    <col min="35" max="35" width="4.7109375" customWidth="1"/>
    <col min="36" max="36" width="4.85546875" customWidth="1"/>
    <col min="37" max="38" width="5" customWidth="1"/>
    <col min="39" max="39" width="4" customWidth="1"/>
    <col min="40" max="40" width="4.42578125" customWidth="1"/>
    <col min="41" max="41" width="5" customWidth="1"/>
    <col min="42" max="42" width="4.85546875" customWidth="1"/>
    <col min="43" max="43" width="4.7109375" customWidth="1"/>
    <col min="44" max="44" width="7" customWidth="1"/>
    <col min="45" max="45" width="5.5703125" customWidth="1"/>
    <col min="46" max="46" width="11.42578125" customWidth="1"/>
  </cols>
  <sheetData>
    <row r="1" spans="1:46" ht="12.75" customHeight="1" x14ac:dyDescent="0.2">
      <c r="A1" s="1" t="s">
        <v>0</v>
      </c>
      <c r="B1" s="1" t="s">
        <v>1</v>
      </c>
      <c r="C1" s="1" t="s">
        <v>2</v>
      </c>
      <c r="D1" s="2" t="s">
        <v>3</v>
      </c>
      <c r="E1" s="1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474</v>
      </c>
      <c r="M1" s="3" t="s">
        <v>11</v>
      </c>
      <c r="N1" s="3" t="s">
        <v>475</v>
      </c>
      <c r="O1" s="4" t="s">
        <v>12</v>
      </c>
      <c r="P1" s="4" t="s">
        <v>13</v>
      </c>
      <c r="Q1" s="5" t="s">
        <v>14</v>
      </c>
      <c r="R1" s="5" t="s">
        <v>15</v>
      </c>
      <c r="S1" s="5" t="s">
        <v>16</v>
      </c>
      <c r="T1" s="5" t="s">
        <v>17</v>
      </c>
      <c r="U1" s="4" t="s">
        <v>18</v>
      </c>
      <c r="V1" s="5" t="s">
        <v>19</v>
      </c>
      <c r="W1" s="5" t="s">
        <v>20</v>
      </c>
      <c r="X1" s="5" t="s">
        <v>21</v>
      </c>
      <c r="Y1" s="5" t="s">
        <v>22</v>
      </c>
      <c r="Z1" s="5" t="s">
        <v>23</v>
      </c>
      <c r="AA1" s="5" t="s">
        <v>24</v>
      </c>
      <c r="AB1" s="5" t="s">
        <v>25</v>
      </c>
      <c r="AC1" s="5" t="s">
        <v>26</v>
      </c>
      <c r="AD1" s="5" t="s">
        <v>27</v>
      </c>
      <c r="AE1" s="5" t="s">
        <v>28</v>
      </c>
      <c r="AF1" s="5" t="s">
        <v>29</v>
      </c>
      <c r="AG1" s="5" t="s">
        <v>30</v>
      </c>
      <c r="AH1" s="5" t="s">
        <v>31</v>
      </c>
      <c r="AI1" s="5" t="s">
        <v>32</v>
      </c>
      <c r="AJ1" s="5" t="s">
        <v>33</v>
      </c>
      <c r="AK1" s="5" t="s">
        <v>34</v>
      </c>
      <c r="AL1" s="5" t="s">
        <v>35</v>
      </c>
      <c r="AM1" s="5" t="s">
        <v>36</v>
      </c>
      <c r="AN1" s="5" t="s">
        <v>37</v>
      </c>
      <c r="AO1" s="5" t="s">
        <v>38</v>
      </c>
      <c r="AP1" s="5" t="s">
        <v>39</v>
      </c>
      <c r="AQ1" s="5" t="s">
        <v>40</v>
      </c>
      <c r="AR1" s="5" t="s">
        <v>41</v>
      </c>
      <c r="AS1" s="5" t="s">
        <v>42</v>
      </c>
      <c r="AT1" s="6" t="s">
        <v>43</v>
      </c>
    </row>
    <row r="2" spans="1:46" ht="12.75" customHeight="1" x14ac:dyDescent="0.2">
      <c r="A2" s="6"/>
      <c r="B2" s="6" t="s">
        <v>44</v>
      </c>
      <c r="C2" s="6"/>
      <c r="D2" s="7"/>
      <c r="E2" s="6" t="s">
        <v>45</v>
      </c>
      <c r="F2" s="3">
        <f>(1+1.3)/2</f>
        <v>1.1499999999999999</v>
      </c>
      <c r="G2" s="3">
        <f>(25+35)/2</f>
        <v>30</v>
      </c>
      <c r="H2" s="3">
        <f>(6+7.5)/2</f>
        <v>6.75</v>
      </c>
      <c r="I2" s="3"/>
      <c r="J2" s="3">
        <f>(5.5+7.2)/2</f>
        <v>6.35</v>
      </c>
      <c r="K2" s="3"/>
      <c r="L2" s="3"/>
      <c r="M2" s="3">
        <v>65</v>
      </c>
      <c r="N2" s="3"/>
      <c r="O2" s="4"/>
      <c r="P2" s="4"/>
      <c r="Q2" s="5"/>
      <c r="R2" s="5"/>
      <c r="S2" s="5"/>
      <c r="T2" s="5"/>
      <c r="V2" s="6"/>
      <c r="W2" s="6"/>
      <c r="X2" s="5"/>
      <c r="Y2" s="5"/>
      <c r="Z2" s="5"/>
      <c r="AA2" s="5"/>
      <c r="AB2" s="5"/>
      <c r="AC2" s="5"/>
      <c r="AD2" s="5"/>
      <c r="AE2" s="5"/>
      <c r="AF2" s="5"/>
      <c r="AG2" s="5"/>
      <c r="AH2" s="5"/>
      <c r="AI2" s="5"/>
      <c r="AJ2" s="5"/>
      <c r="AK2" s="5"/>
      <c r="AL2" s="5"/>
      <c r="AM2" s="5"/>
      <c r="AN2" s="5"/>
      <c r="AO2" s="5"/>
      <c r="AP2" s="5"/>
      <c r="AQ2" s="5"/>
      <c r="AR2" s="5"/>
      <c r="AS2" s="5"/>
      <c r="AT2" s="8"/>
    </row>
    <row r="3" spans="1:46" ht="12.75" customHeight="1" x14ac:dyDescent="0.2">
      <c r="A3" s="6"/>
      <c r="B3" s="6" t="s">
        <v>44</v>
      </c>
      <c r="C3" s="6"/>
      <c r="D3" s="7"/>
      <c r="E3" s="6" t="s">
        <v>46</v>
      </c>
      <c r="F3" s="3">
        <f>(0.9+1.1)/2</f>
        <v>1</v>
      </c>
      <c r="G3" s="3">
        <f>(25+37)/2</f>
        <v>31</v>
      </c>
      <c r="H3" s="3">
        <v>5.5</v>
      </c>
      <c r="I3" s="3"/>
      <c r="J3" s="3">
        <v>6</v>
      </c>
      <c r="K3" s="3"/>
      <c r="L3" s="3"/>
      <c r="M3" s="3"/>
      <c r="N3" s="3"/>
      <c r="O3" s="4"/>
      <c r="P3" s="4"/>
      <c r="Q3" s="5"/>
      <c r="R3" s="5"/>
      <c r="S3" s="5"/>
      <c r="T3" s="5"/>
      <c r="X3" s="5"/>
      <c r="Y3" s="5"/>
      <c r="Z3" s="5"/>
      <c r="AA3" s="5"/>
      <c r="AB3" s="5"/>
      <c r="AC3" s="5"/>
      <c r="AD3" s="5"/>
      <c r="AE3" s="5"/>
      <c r="AF3" s="5"/>
      <c r="AG3" s="5"/>
      <c r="AH3" s="5"/>
      <c r="AI3" s="5"/>
      <c r="AJ3" s="5"/>
      <c r="AK3" s="5"/>
      <c r="AL3" s="5"/>
      <c r="AM3" s="5"/>
      <c r="AN3" s="5"/>
      <c r="AO3" s="5"/>
      <c r="AP3" s="5"/>
      <c r="AQ3" s="5"/>
      <c r="AR3" s="5"/>
      <c r="AS3" s="5"/>
      <c r="AT3" s="5"/>
    </row>
    <row r="4" spans="1:46" ht="12.75" customHeight="1" x14ac:dyDescent="0.2">
      <c r="A4" s="6"/>
      <c r="B4" s="6" t="s">
        <v>47</v>
      </c>
      <c r="C4" s="6" t="s">
        <v>48</v>
      </c>
      <c r="D4" s="7"/>
      <c r="E4" s="6" t="s">
        <v>45</v>
      </c>
      <c r="F4" s="3">
        <v>0.7</v>
      </c>
      <c r="G4" s="3">
        <v>30</v>
      </c>
      <c r="H4" s="3">
        <v>4.5</v>
      </c>
      <c r="I4" s="3"/>
      <c r="J4" s="3">
        <v>9.4</v>
      </c>
      <c r="K4" s="3"/>
      <c r="L4" s="3"/>
      <c r="M4" s="3">
        <v>55</v>
      </c>
      <c r="N4" s="3"/>
      <c r="O4" s="4"/>
      <c r="P4" s="4"/>
      <c r="Q4" s="5"/>
      <c r="R4" s="5"/>
      <c r="S4" s="5"/>
      <c r="T4" s="5"/>
      <c r="X4" s="5"/>
      <c r="Y4" s="5"/>
      <c r="Z4" s="5"/>
      <c r="AA4" s="5"/>
      <c r="AB4" s="5"/>
      <c r="AC4" s="5"/>
      <c r="AD4" s="5"/>
      <c r="AE4" s="5"/>
      <c r="AF4" s="5"/>
      <c r="AG4" s="5"/>
      <c r="AH4" s="5"/>
      <c r="AI4" s="5"/>
      <c r="AJ4" s="5"/>
      <c r="AK4" s="5"/>
      <c r="AL4" s="5"/>
      <c r="AM4" s="5"/>
      <c r="AN4" s="5"/>
      <c r="AO4" s="5"/>
      <c r="AP4" s="5"/>
      <c r="AQ4" s="5"/>
      <c r="AR4" s="5"/>
      <c r="AS4" s="5"/>
      <c r="AT4" s="5"/>
    </row>
    <row r="5" spans="1:46" ht="12.75" customHeight="1" x14ac:dyDescent="0.2">
      <c r="A5" s="6"/>
      <c r="B5" s="6" t="s">
        <v>47</v>
      </c>
      <c r="C5" s="6" t="s">
        <v>48</v>
      </c>
      <c r="D5" s="7"/>
      <c r="E5" s="6" t="s">
        <v>46</v>
      </c>
      <c r="F5" s="3">
        <v>0.6</v>
      </c>
      <c r="G5" s="3">
        <v>30</v>
      </c>
      <c r="H5" s="3">
        <v>4.5</v>
      </c>
      <c r="I5" s="3"/>
      <c r="J5" s="3">
        <v>9</v>
      </c>
      <c r="K5" s="9"/>
      <c r="L5" s="9"/>
      <c r="M5" s="9"/>
      <c r="N5" s="9"/>
      <c r="O5" s="4"/>
      <c r="P5" s="4"/>
      <c r="Q5" s="5"/>
      <c r="R5" s="5"/>
      <c r="S5" s="5"/>
      <c r="T5" s="5"/>
      <c r="V5" s="6"/>
      <c r="W5" s="6"/>
      <c r="X5" s="5"/>
      <c r="Y5" s="5"/>
      <c r="Z5" s="5"/>
      <c r="AA5" s="5"/>
      <c r="AB5" s="5"/>
      <c r="AC5" s="5"/>
      <c r="AD5" s="5"/>
      <c r="AE5" s="5"/>
      <c r="AF5" s="5"/>
      <c r="AG5" s="5"/>
      <c r="AH5" s="5"/>
      <c r="AI5" s="5"/>
      <c r="AJ5" s="5"/>
      <c r="AK5" s="5"/>
      <c r="AL5" s="5"/>
      <c r="AM5" s="5"/>
      <c r="AN5" s="5"/>
      <c r="AO5" s="5"/>
      <c r="AP5" s="5"/>
      <c r="AQ5" s="5"/>
      <c r="AR5" s="5"/>
      <c r="AS5" s="5"/>
      <c r="AT5" s="5"/>
    </row>
    <row r="6" spans="1:46" ht="12.75" customHeight="1" x14ac:dyDescent="0.2">
      <c r="A6" s="6"/>
      <c r="B6" s="6" t="s">
        <v>49</v>
      </c>
      <c r="C6" s="6"/>
      <c r="D6" s="7"/>
      <c r="E6" s="6" t="s">
        <v>45</v>
      </c>
      <c r="F6" s="3">
        <f>(1+1.5)/2</f>
        <v>1.25</v>
      </c>
      <c r="G6" s="3">
        <f>(33+38)/2</f>
        <v>35.5</v>
      </c>
      <c r="H6" s="3">
        <f>(6.5+7.1)/2</f>
        <v>6.8</v>
      </c>
      <c r="I6" s="3"/>
      <c r="J6" s="3">
        <f>(8+8.5)/2</f>
        <v>8.25</v>
      </c>
      <c r="K6" s="3"/>
      <c r="L6" s="3"/>
      <c r="M6" s="3">
        <v>47</v>
      </c>
      <c r="N6" s="3"/>
      <c r="O6" s="4"/>
      <c r="P6" s="4"/>
      <c r="Q6" s="5"/>
      <c r="R6" s="5"/>
      <c r="S6" s="5"/>
      <c r="T6" s="5"/>
      <c r="V6" s="6"/>
      <c r="W6" s="6"/>
      <c r="X6" s="5"/>
      <c r="Y6" s="5"/>
      <c r="Z6" s="5"/>
      <c r="AA6" s="5"/>
      <c r="AB6" s="5"/>
      <c r="AC6" s="5"/>
      <c r="AD6" s="5"/>
      <c r="AE6" s="5"/>
      <c r="AF6" s="5"/>
      <c r="AG6" s="5"/>
      <c r="AH6" s="5"/>
      <c r="AI6" s="5"/>
      <c r="AJ6" s="5"/>
      <c r="AK6" s="5"/>
      <c r="AL6" s="5"/>
      <c r="AM6" s="5"/>
      <c r="AN6" s="5"/>
      <c r="AO6" s="5"/>
      <c r="AP6" s="5"/>
      <c r="AQ6" s="5"/>
      <c r="AR6" s="5"/>
      <c r="AS6" s="5"/>
      <c r="AT6" s="5"/>
    </row>
    <row r="7" spans="1:46" ht="12.75" customHeight="1" x14ac:dyDescent="0.2">
      <c r="A7" s="6"/>
      <c r="B7" s="6" t="s">
        <v>49</v>
      </c>
      <c r="C7" s="6"/>
      <c r="D7" s="7"/>
      <c r="E7" s="6" t="s">
        <v>46</v>
      </c>
      <c r="F7" s="3">
        <f>(1+1.2)/2</f>
        <v>1.1000000000000001</v>
      </c>
      <c r="G7" s="3">
        <f>(32+36)/2</f>
        <v>34</v>
      </c>
      <c r="H7" s="3">
        <f>(6+6.8)/2</f>
        <v>6.4</v>
      </c>
      <c r="I7" s="3"/>
      <c r="J7" s="3">
        <f>(6+6.6)/2</f>
        <v>6.3</v>
      </c>
      <c r="K7" s="3"/>
      <c r="L7" s="3"/>
      <c r="M7" s="3"/>
      <c r="N7" s="3"/>
      <c r="O7" s="4"/>
      <c r="P7" s="4"/>
      <c r="Q7" s="5"/>
      <c r="R7" s="5"/>
      <c r="S7" s="5"/>
      <c r="T7" s="5"/>
      <c r="V7" s="6"/>
      <c r="W7" s="6"/>
      <c r="X7" s="5"/>
      <c r="Y7" s="5"/>
      <c r="Z7" s="5"/>
      <c r="AA7" s="5"/>
      <c r="AB7" s="5"/>
      <c r="AC7" s="5"/>
      <c r="AD7" s="5"/>
      <c r="AE7" s="5"/>
      <c r="AF7" s="5"/>
      <c r="AG7" s="5"/>
      <c r="AH7" s="5"/>
      <c r="AI7" s="5"/>
      <c r="AJ7" s="5"/>
      <c r="AK7" s="5"/>
      <c r="AL7" s="5"/>
      <c r="AM7" s="5"/>
      <c r="AN7" s="5"/>
      <c r="AO7" s="5"/>
      <c r="AP7" s="5"/>
      <c r="AQ7" s="5"/>
      <c r="AR7" s="5"/>
      <c r="AS7" s="5"/>
      <c r="AT7" s="5"/>
    </row>
    <row r="8" spans="1:46" ht="12.75" customHeight="1" x14ac:dyDescent="0.2">
      <c r="A8" s="6"/>
      <c r="B8" s="6" t="s">
        <v>50</v>
      </c>
      <c r="C8" s="6"/>
      <c r="D8" s="7"/>
      <c r="E8" s="6" t="s">
        <v>45</v>
      </c>
      <c r="F8" s="3">
        <f>(0.6+1.1)/2</f>
        <v>0.85000000000000009</v>
      </c>
      <c r="G8" s="3">
        <f>(27+30)/2</f>
        <v>28.5</v>
      </c>
      <c r="H8" s="3">
        <f>(5+7)/2</f>
        <v>6</v>
      </c>
      <c r="I8" s="3"/>
      <c r="J8" s="3">
        <f>(13+15)/2</f>
        <v>14</v>
      </c>
      <c r="K8" s="3"/>
      <c r="L8" s="3"/>
      <c r="M8" s="3">
        <f>(50+55)/2</f>
        <v>52.5</v>
      </c>
      <c r="N8" s="3"/>
      <c r="O8" s="4"/>
      <c r="P8" s="4"/>
      <c r="Q8" s="5"/>
      <c r="R8" s="5"/>
      <c r="S8" s="5"/>
      <c r="T8" s="5"/>
      <c r="V8" s="6"/>
      <c r="W8" s="6"/>
      <c r="X8" s="5"/>
      <c r="Y8" s="5"/>
      <c r="Z8" s="5"/>
      <c r="AA8" s="5"/>
      <c r="AB8" s="5"/>
      <c r="AC8" s="5"/>
      <c r="AD8" s="5"/>
      <c r="AE8" s="5"/>
      <c r="AF8" s="5"/>
      <c r="AG8" s="5"/>
      <c r="AH8" s="5"/>
      <c r="AI8" s="5"/>
      <c r="AJ8" s="5"/>
      <c r="AK8" s="5"/>
      <c r="AL8" s="5"/>
      <c r="AM8" s="5"/>
      <c r="AN8" s="5"/>
      <c r="AO8" s="5"/>
      <c r="AP8" s="5"/>
      <c r="AQ8" s="5"/>
      <c r="AR8" s="5"/>
      <c r="AS8" s="5"/>
      <c r="AT8" s="5"/>
    </row>
    <row r="9" spans="1:46" ht="12.75" customHeight="1" x14ac:dyDescent="0.2">
      <c r="A9" s="6"/>
      <c r="B9" s="6" t="s">
        <v>50</v>
      </c>
      <c r="C9" s="6"/>
      <c r="D9" s="7"/>
      <c r="E9" s="6" t="s">
        <v>46</v>
      </c>
      <c r="F9" s="3">
        <f>(0.6+0.9)/2</f>
        <v>0.75</v>
      </c>
      <c r="G9" s="3">
        <f>(26+33)/2</f>
        <v>29.5</v>
      </c>
      <c r="H9" s="3">
        <f>(4.7+6.9)/2</f>
        <v>5.8000000000000007</v>
      </c>
      <c r="I9" s="3"/>
      <c r="J9" s="3">
        <f>(10+15)/2</f>
        <v>12.5</v>
      </c>
      <c r="K9" s="3"/>
      <c r="L9" s="3"/>
      <c r="M9" s="3"/>
      <c r="N9" s="3"/>
      <c r="O9" s="4"/>
      <c r="P9" s="4"/>
      <c r="Q9" s="5"/>
      <c r="R9" s="5"/>
      <c r="S9" s="5"/>
      <c r="T9" s="5"/>
      <c r="V9" s="6"/>
      <c r="W9" s="6"/>
      <c r="X9" s="5"/>
      <c r="Y9" s="5"/>
      <c r="Z9" s="5"/>
      <c r="AA9" s="5"/>
      <c r="AB9" s="5"/>
      <c r="AC9" s="5"/>
      <c r="AD9" s="5"/>
      <c r="AE9" s="5"/>
      <c r="AF9" s="5"/>
      <c r="AG9" s="5"/>
      <c r="AH9" s="5"/>
      <c r="AI9" s="5"/>
      <c r="AJ9" s="5"/>
      <c r="AK9" s="5"/>
      <c r="AL9" s="5"/>
      <c r="AM9" s="5"/>
      <c r="AN9" s="5"/>
      <c r="AO9" s="5"/>
      <c r="AP9" s="5"/>
      <c r="AQ9" s="5"/>
      <c r="AR9" s="5"/>
      <c r="AS9" s="5"/>
      <c r="AT9" s="5"/>
    </row>
    <row r="10" spans="1:46" ht="12.75" customHeight="1" x14ac:dyDescent="0.2">
      <c r="A10" s="6"/>
      <c r="B10" s="6" t="s">
        <v>51</v>
      </c>
      <c r="C10" s="6"/>
      <c r="D10" s="7"/>
      <c r="E10" s="6" t="s">
        <v>45</v>
      </c>
      <c r="F10" s="3">
        <f>(0.7+0.88)/2</f>
        <v>0.79</v>
      </c>
      <c r="G10" s="3">
        <f>(35+43)/2</f>
        <v>39</v>
      </c>
      <c r="H10" s="3">
        <f>(5.8+7.8)/2</f>
        <v>6.8</v>
      </c>
      <c r="I10" s="3"/>
      <c r="J10" s="3">
        <f>(14+17)/2</f>
        <v>15.5</v>
      </c>
      <c r="K10" s="3"/>
      <c r="L10" s="3"/>
      <c r="M10" s="3">
        <f>(52+56)/2</f>
        <v>54</v>
      </c>
      <c r="N10" s="3"/>
      <c r="O10" s="4"/>
      <c r="P10" s="4"/>
      <c r="Q10" s="5"/>
      <c r="R10" s="5"/>
      <c r="S10" s="5"/>
      <c r="T10" s="5"/>
      <c r="V10" s="6"/>
      <c r="W10" s="6"/>
      <c r="X10" s="5"/>
      <c r="Y10" s="5"/>
      <c r="Z10" s="5"/>
      <c r="AA10" s="5"/>
      <c r="AB10" s="5"/>
      <c r="AC10" s="5"/>
      <c r="AD10" s="5"/>
      <c r="AE10" s="5"/>
      <c r="AF10" s="5"/>
      <c r="AG10" s="5"/>
      <c r="AH10" s="5"/>
      <c r="AI10" s="5"/>
      <c r="AJ10" s="5"/>
      <c r="AK10" s="5"/>
      <c r="AL10" s="5"/>
      <c r="AM10" s="5"/>
      <c r="AN10" s="5"/>
      <c r="AO10" s="5"/>
      <c r="AP10" s="5"/>
      <c r="AQ10" s="5"/>
      <c r="AR10" s="5"/>
      <c r="AS10" s="5"/>
      <c r="AT10" s="5"/>
    </row>
    <row r="11" spans="1:46" ht="12.75" customHeight="1" x14ac:dyDescent="0.2">
      <c r="A11" s="6"/>
      <c r="B11" s="6" t="s">
        <v>51</v>
      </c>
      <c r="C11" s="6"/>
      <c r="D11" s="7"/>
      <c r="E11" s="6" t="s">
        <v>46</v>
      </c>
      <c r="F11" s="3">
        <f>(0.7+0.84)/2</f>
        <v>0.77</v>
      </c>
      <c r="G11" s="3">
        <f>(40+47)/2</f>
        <v>43.5</v>
      </c>
      <c r="H11" s="3">
        <f>(6+7)/2</f>
        <v>6.5</v>
      </c>
      <c r="I11" s="3"/>
      <c r="J11" s="3">
        <f>(14+16)/2</f>
        <v>15</v>
      </c>
      <c r="K11" s="3"/>
      <c r="L11" s="3"/>
      <c r="M11" s="3"/>
      <c r="N11" s="3"/>
      <c r="O11" s="4"/>
      <c r="P11" s="4"/>
      <c r="Q11" s="5"/>
      <c r="R11" s="5"/>
      <c r="S11" s="5"/>
      <c r="T11" s="5"/>
      <c r="V11" s="6"/>
      <c r="W11" s="6"/>
      <c r="X11" s="5"/>
      <c r="Y11" s="5"/>
      <c r="Z11" s="5"/>
      <c r="AA11" s="5"/>
      <c r="AB11" s="5"/>
      <c r="AC11" s="5"/>
      <c r="AD11" s="5"/>
      <c r="AE11" s="5"/>
      <c r="AF11" s="5"/>
      <c r="AG11" s="5"/>
      <c r="AH11" s="5"/>
      <c r="AI11" s="5"/>
      <c r="AJ11" s="5"/>
      <c r="AK11" s="5"/>
      <c r="AL11" s="5"/>
      <c r="AM11" s="5"/>
      <c r="AN11" s="5"/>
      <c r="AO11" s="5"/>
      <c r="AP11" s="5"/>
      <c r="AQ11" s="5"/>
      <c r="AR11" s="5"/>
      <c r="AS11" s="5"/>
      <c r="AT11" s="5"/>
    </row>
    <row r="12" spans="1:46" ht="12.75" customHeight="1" x14ac:dyDescent="0.2">
      <c r="A12" s="6"/>
      <c r="B12" s="6" t="s">
        <v>52</v>
      </c>
      <c r="C12" s="6"/>
      <c r="D12" s="7"/>
      <c r="E12" s="6" t="s">
        <v>45</v>
      </c>
      <c r="F12" s="3">
        <f>(1.02+1.07)/2</f>
        <v>1.0449999999999999</v>
      </c>
      <c r="G12" s="3">
        <f>(35+36)/2</f>
        <v>35.5</v>
      </c>
      <c r="H12" s="3">
        <f>(6.1+6.5)/2</f>
        <v>6.3</v>
      </c>
      <c r="I12" s="3"/>
      <c r="J12" s="3">
        <f>(27+29)/2</f>
        <v>28</v>
      </c>
      <c r="K12" s="3"/>
      <c r="L12" s="3"/>
      <c r="M12" s="3">
        <f>(54+58)/2</f>
        <v>56</v>
      </c>
      <c r="N12" s="3"/>
      <c r="O12" s="4"/>
      <c r="P12" s="4"/>
      <c r="Q12" s="5"/>
      <c r="R12" s="5"/>
      <c r="S12" s="5"/>
      <c r="T12" s="5"/>
      <c r="V12" s="6"/>
      <c r="W12" s="6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5"/>
      <c r="AI12" s="5"/>
      <c r="AJ12" s="5"/>
      <c r="AK12" s="5"/>
      <c r="AL12" s="5"/>
      <c r="AM12" s="5"/>
      <c r="AN12" s="5"/>
      <c r="AO12" s="5"/>
      <c r="AP12" s="5"/>
      <c r="AQ12" s="5"/>
      <c r="AR12" s="5"/>
      <c r="AS12" s="5"/>
      <c r="AT12" s="5"/>
    </row>
    <row r="13" spans="1:46" ht="12.75" customHeight="1" x14ac:dyDescent="0.2">
      <c r="A13" s="6"/>
      <c r="B13" s="6" t="s">
        <v>52</v>
      </c>
      <c r="C13" s="6"/>
      <c r="D13" s="7"/>
      <c r="E13" s="6" t="s">
        <v>46</v>
      </c>
      <c r="F13" s="3">
        <f>(0.98+1.02)/2</f>
        <v>1</v>
      </c>
      <c r="G13" s="3">
        <f>(36+41)/2</f>
        <v>38.5</v>
      </c>
      <c r="H13" s="3">
        <f>(6.3+6.8)/2</f>
        <v>6.55</v>
      </c>
      <c r="I13" s="3"/>
      <c r="J13" s="3">
        <f>(22+24)/2</f>
        <v>23</v>
      </c>
      <c r="K13" s="3"/>
      <c r="L13" s="3"/>
      <c r="M13" s="3"/>
      <c r="N13" s="3"/>
      <c r="O13" s="4"/>
      <c r="P13" s="4"/>
      <c r="Q13" s="5"/>
      <c r="R13" s="5"/>
      <c r="S13" s="5"/>
      <c r="T13" s="5"/>
      <c r="X13" s="5"/>
      <c r="Y13" s="5"/>
      <c r="Z13" s="5"/>
      <c r="AA13" s="5"/>
      <c r="AB13" s="5"/>
      <c r="AC13" s="5"/>
      <c r="AD13" s="5"/>
      <c r="AE13" s="5"/>
      <c r="AF13" s="5"/>
      <c r="AG13" s="5"/>
      <c r="AH13" s="5"/>
      <c r="AI13" s="5"/>
      <c r="AJ13" s="5"/>
      <c r="AK13" s="5"/>
      <c r="AL13" s="5"/>
      <c r="AM13" s="5"/>
      <c r="AN13" s="5"/>
      <c r="AO13" s="5"/>
      <c r="AP13" s="5"/>
      <c r="AQ13" s="5"/>
      <c r="AR13" s="5"/>
      <c r="AS13" s="5"/>
      <c r="AT13" s="5"/>
    </row>
    <row r="14" spans="1:46" ht="12.75" customHeight="1" x14ac:dyDescent="0.2">
      <c r="A14" s="6"/>
      <c r="B14" s="6" t="s">
        <v>53</v>
      </c>
      <c r="C14" s="6"/>
      <c r="D14" s="7"/>
      <c r="E14" s="6" t="s">
        <v>45</v>
      </c>
      <c r="F14" s="3">
        <f>(1.15+2.05)/2</f>
        <v>1.5999999999999999</v>
      </c>
      <c r="G14" s="3">
        <f>(38+48)/2</f>
        <v>43</v>
      </c>
      <c r="H14" s="3">
        <f>(6.3+10)/2</f>
        <v>8.15</v>
      </c>
      <c r="I14" s="3"/>
      <c r="J14" s="3">
        <f>(28+42)/2</f>
        <v>35</v>
      </c>
      <c r="K14" s="3"/>
      <c r="L14" s="3"/>
      <c r="M14" s="3">
        <f>(45+50)/2</f>
        <v>47.5</v>
      </c>
      <c r="N14" s="3"/>
      <c r="O14" s="4"/>
      <c r="P14" s="4"/>
      <c r="Q14" s="5"/>
      <c r="R14" s="5"/>
      <c r="S14" s="5"/>
      <c r="T14" s="5"/>
      <c r="X14" s="5"/>
      <c r="Y14" s="5"/>
      <c r="Z14" s="5"/>
      <c r="AA14" s="5"/>
      <c r="AB14" s="5"/>
      <c r="AC14" s="5"/>
      <c r="AD14" s="5"/>
      <c r="AE14" s="5"/>
      <c r="AF14" s="5"/>
      <c r="AG14" s="5"/>
      <c r="AH14" s="5"/>
      <c r="AI14" s="5"/>
      <c r="AJ14" s="5"/>
      <c r="AK14" s="5"/>
      <c r="AL14" s="5"/>
      <c r="AM14" s="5"/>
      <c r="AN14" s="5"/>
      <c r="AO14" s="5"/>
      <c r="AP14" s="5"/>
      <c r="AQ14" s="5"/>
      <c r="AR14" s="5"/>
      <c r="AS14" s="5"/>
      <c r="AT14" s="5"/>
    </row>
    <row r="15" spans="1:46" ht="12.75" customHeight="1" x14ac:dyDescent="0.2">
      <c r="A15" s="6"/>
      <c r="B15" s="6" t="s">
        <v>53</v>
      </c>
      <c r="C15" s="6"/>
      <c r="D15" s="7"/>
      <c r="E15" s="6" t="s">
        <v>46</v>
      </c>
      <c r="F15" s="3">
        <f>(1.04+1.69)/2</f>
        <v>1.365</v>
      </c>
      <c r="G15" s="3">
        <f>(40+58)/2</f>
        <v>49</v>
      </c>
      <c r="H15" s="3">
        <f>(6.2+8.5)/2</f>
        <v>7.35</v>
      </c>
      <c r="I15" s="3"/>
      <c r="J15" s="3">
        <f>(20+28)/2</f>
        <v>24</v>
      </c>
      <c r="K15" s="3"/>
      <c r="L15" s="3"/>
      <c r="M15" s="3"/>
      <c r="N15" s="3"/>
      <c r="O15" s="4"/>
      <c r="P15" s="4"/>
      <c r="Q15" s="5"/>
      <c r="R15" s="5"/>
      <c r="S15" s="5"/>
      <c r="T15" s="5"/>
      <c r="X15" s="5"/>
      <c r="Y15" s="5"/>
      <c r="Z15" s="5"/>
      <c r="AA15" s="5"/>
      <c r="AB15" s="5"/>
      <c r="AC15" s="5"/>
      <c r="AD15" s="5"/>
      <c r="AE15" s="5"/>
      <c r="AF15" s="5"/>
      <c r="AG15" s="5"/>
      <c r="AH15" s="5"/>
      <c r="AI15" s="5"/>
      <c r="AJ15" s="5"/>
      <c r="AK15" s="5"/>
      <c r="AL15" s="5"/>
      <c r="AM15" s="5"/>
      <c r="AN15" s="5"/>
      <c r="AO15" s="5"/>
      <c r="AP15" s="5"/>
      <c r="AQ15" s="5"/>
      <c r="AR15" s="5"/>
      <c r="AS15" s="5"/>
      <c r="AT15" s="5"/>
    </row>
    <row r="16" spans="1:46" ht="12.75" customHeight="1" x14ac:dyDescent="0.2">
      <c r="A16" s="6"/>
      <c r="B16" s="6" t="s">
        <v>54</v>
      </c>
      <c r="C16" s="6"/>
      <c r="D16" s="7"/>
      <c r="E16" s="6" t="s">
        <v>45</v>
      </c>
      <c r="F16" s="3">
        <f t="shared" ref="F16:F17" si="0">(1+1.3)/2</f>
        <v>1.1499999999999999</v>
      </c>
      <c r="G16" s="3">
        <f>(36+40)/2</f>
        <v>38</v>
      </c>
      <c r="H16" s="3">
        <f>(6.5+7.1)/2</f>
        <v>6.8</v>
      </c>
      <c r="I16" s="3"/>
      <c r="J16" s="3">
        <f>(14+18)/2</f>
        <v>16</v>
      </c>
      <c r="K16" s="3"/>
      <c r="L16" s="3"/>
      <c r="M16" s="3">
        <f>(45+50)/2</f>
        <v>47.5</v>
      </c>
      <c r="N16" s="3"/>
      <c r="O16" s="4"/>
      <c r="P16" s="4"/>
      <c r="Q16" s="5"/>
      <c r="R16" s="5"/>
      <c r="S16" s="5"/>
      <c r="T16" s="5"/>
      <c r="V16" s="6"/>
      <c r="W16" s="6"/>
      <c r="X16" s="5"/>
      <c r="Y16" s="5"/>
      <c r="Z16" s="5"/>
      <c r="AA16" s="5"/>
      <c r="AB16" s="5"/>
      <c r="AC16" s="5"/>
      <c r="AD16" s="5"/>
      <c r="AE16" s="5"/>
      <c r="AF16" s="5"/>
      <c r="AG16" s="5"/>
      <c r="AH16" s="5"/>
      <c r="AI16" s="5"/>
      <c r="AJ16" s="5"/>
      <c r="AK16" s="5"/>
      <c r="AL16" s="5"/>
      <c r="AM16" s="5"/>
      <c r="AN16" s="5"/>
      <c r="AO16" s="5"/>
      <c r="AP16" s="5"/>
      <c r="AQ16" s="5"/>
      <c r="AR16" s="5"/>
      <c r="AS16" s="5"/>
      <c r="AT16" s="5"/>
    </row>
    <row r="17" spans="1:46" ht="12.75" customHeight="1" x14ac:dyDescent="0.2">
      <c r="A17" s="6"/>
      <c r="B17" s="6" t="s">
        <v>54</v>
      </c>
      <c r="C17" s="6"/>
      <c r="D17" s="7"/>
      <c r="E17" s="6" t="s">
        <v>46</v>
      </c>
      <c r="F17" s="3">
        <f t="shared" si="0"/>
        <v>1.1499999999999999</v>
      </c>
      <c r="G17" s="3">
        <f>(37+41)/2</f>
        <v>39</v>
      </c>
      <c r="H17" s="3">
        <f>(6.5+7.3)/2</f>
        <v>6.9</v>
      </c>
      <c r="I17" s="3"/>
      <c r="J17" s="3">
        <f>(12+15)/2</f>
        <v>13.5</v>
      </c>
      <c r="K17" s="3"/>
      <c r="L17" s="3"/>
      <c r="M17" s="3"/>
      <c r="N17" s="3"/>
      <c r="O17" s="4"/>
      <c r="P17" s="4"/>
      <c r="Q17" s="5"/>
      <c r="R17" s="5"/>
      <c r="S17" s="5"/>
      <c r="T17" s="5"/>
      <c r="V17" s="6"/>
      <c r="W17" s="6"/>
      <c r="X17" s="5"/>
      <c r="Y17" s="5"/>
      <c r="Z17" s="5"/>
      <c r="AA17" s="5"/>
      <c r="AB17" s="5"/>
      <c r="AC17" s="5"/>
      <c r="AD17" s="5"/>
      <c r="AE17" s="5"/>
      <c r="AF17" s="5"/>
      <c r="AG17" s="5"/>
      <c r="AH17" s="5"/>
      <c r="AI17" s="5"/>
      <c r="AJ17" s="5"/>
      <c r="AK17" s="5"/>
      <c r="AL17" s="5"/>
      <c r="AM17" s="5"/>
      <c r="AN17" s="5"/>
      <c r="AO17" s="5"/>
      <c r="AP17" s="5"/>
      <c r="AQ17" s="5"/>
      <c r="AR17" s="5"/>
      <c r="AS17" s="5"/>
      <c r="AT17" s="5"/>
    </row>
    <row r="18" spans="1:46" ht="12.75" customHeight="1" x14ac:dyDescent="0.2">
      <c r="A18" s="6"/>
      <c r="B18" s="6" t="s">
        <v>55</v>
      </c>
      <c r="C18" s="6" t="s">
        <v>56</v>
      </c>
      <c r="D18" s="7"/>
      <c r="E18" s="6" t="s">
        <v>45</v>
      </c>
      <c r="F18" s="3">
        <f>(0.92+1.1)/2</f>
        <v>1.01</v>
      </c>
      <c r="G18" s="3">
        <f>(23+26)/2</f>
        <v>24.5</v>
      </c>
      <c r="H18" s="3">
        <f>(5.4+5.6)/2</f>
        <v>5.5</v>
      </c>
      <c r="I18" s="3"/>
      <c r="J18" s="3">
        <f>(28+29)/2</f>
        <v>28.5</v>
      </c>
      <c r="K18" s="3"/>
      <c r="L18" s="3"/>
      <c r="M18" s="3">
        <f>(90.1+90.9)/2</f>
        <v>90.5</v>
      </c>
      <c r="N18" s="3"/>
      <c r="O18" s="4"/>
      <c r="P18" s="4"/>
      <c r="Q18" s="5"/>
      <c r="R18" s="5"/>
      <c r="S18" s="5"/>
      <c r="T18" s="5"/>
      <c r="V18" s="6"/>
      <c r="W18" s="6"/>
      <c r="X18" s="5"/>
      <c r="Y18" s="5"/>
      <c r="Z18" s="5"/>
      <c r="AA18" s="5"/>
      <c r="AB18" s="5"/>
      <c r="AC18" s="5"/>
      <c r="AD18" s="5"/>
      <c r="AE18" s="5"/>
      <c r="AF18" s="5"/>
      <c r="AG18" s="5"/>
      <c r="AH18" s="5"/>
      <c r="AI18" s="5"/>
      <c r="AJ18" s="5"/>
      <c r="AK18" s="5"/>
      <c r="AL18" s="5"/>
      <c r="AM18" s="5"/>
      <c r="AN18" s="5"/>
      <c r="AO18" s="5"/>
      <c r="AP18" s="5"/>
      <c r="AQ18" s="5"/>
      <c r="AR18" s="5"/>
      <c r="AS18" s="5"/>
      <c r="AT18" s="5"/>
    </row>
    <row r="19" spans="1:46" ht="12.75" customHeight="1" x14ac:dyDescent="0.2">
      <c r="A19" s="6"/>
      <c r="B19" s="6" t="s">
        <v>55</v>
      </c>
      <c r="C19" s="6" t="s">
        <v>56</v>
      </c>
      <c r="D19" s="7"/>
      <c r="E19" s="6" t="s">
        <v>46</v>
      </c>
      <c r="F19" s="3">
        <f>(0.87+1.02)/2</f>
        <v>0.94500000000000006</v>
      </c>
      <c r="G19" s="3">
        <f>(31+33)/2</f>
        <v>32</v>
      </c>
      <c r="H19" s="3">
        <f>(5.3+6.3)/2</f>
        <v>5.8</v>
      </c>
      <c r="I19" s="3"/>
      <c r="J19" s="3">
        <f>(29+31)/2</f>
        <v>30</v>
      </c>
      <c r="K19" s="3"/>
      <c r="L19" s="3"/>
      <c r="M19" s="3"/>
      <c r="N19" s="3"/>
      <c r="O19" s="4"/>
      <c r="P19" s="4"/>
      <c r="Q19" s="5"/>
      <c r="R19" s="5"/>
      <c r="S19" s="5"/>
      <c r="T19" s="5"/>
      <c r="X19" s="5"/>
      <c r="Y19" s="5"/>
      <c r="Z19" s="5"/>
      <c r="AA19" s="5"/>
      <c r="AB19" s="5"/>
      <c r="AC19" s="5"/>
      <c r="AD19" s="5"/>
      <c r="AE19" s="5"/>
      <c r="AF19" s="5"/>
      <c r="AG19" s="5"/>
      <c r="AH19" s="5"/>
      <c r="AI19" s="5"/>
      <c r="AJ19" s="5"/>
      <c r="AK19" s="5"/>
      <c r="AL19" s="5"/>
      <c r="AM19" s="5"/>
      <c r="AN19" s="5"/>
      <c r="AO19" s="5"/>
      <c r="AP19" s="5"/>
      <c r="AQ19" s="5"/>
      <c r="AR19" s="5"/>
      <c r="AS19" s="5"/>
      <c r="AT19" s="5"/>
    </row>
    <row r="20" spans="1:46" ht="12.75" customHeight="1" x14ac:dyDescent="0.2">
      <c r="A20" s="6"/>
      <c r="B20" s="10" t="s">
        <v>57</v>
      </c>
      <c r="C20" s="6"/>
      <c r="D20" s="7"/>
      <c r="E20" s="6" t="s">
        <v>45</v>
      </c>
      <c r="F20" s="3">
        <f>(0.79+0.99)/2</f>
        <v>0.89</v>
      </c>
      <c r="G20" s="3">
        <f>(24+25)/2</f>
        <v>24.5</v>
      </c>
      <c r="H20" s="3">
        <f>(7.3+7.9)/2</f>
        <v>7.6</v>
      </c>
      <c r="I20" s="3"/>
      <c r="J20" s="3">
        <f>(38+42)/2</f>
        <v>40</v>
      </c>
      <c r="K20" s="3"/>
      <c r="L20" s="3"/>
      <c r="M20" s="3">
        <f>(91.2+91.9)/2</f>
        <v>91.550000000000011</v>
      </c>
      <c r="N20" s="3"/>
      <c r="O20" s="4"/>
      <c r="P20" s="4"/>
      <c r="Q20" s="5"/>
      <c r="R20" s="5"/>
      <c r="S20" s="5"/>
      <c r="T20" s="5"/>
      <c r="X20" s="5"/>
      <c r="Y20" s="5"/>
      <c r="Z20" s="5"/>
      <c r="AA20" s="5"/>
      <c r="AB20" s="5"/>
      <c r="AC20" s="5"/>
      <c r="AD20" s="5"/>
      <c r="AE20" s="5"/>
      <c r="AF20" s="5"/>
      <c r="AG20" s="5"/>
      <c r="AH20" s="5"/>
      <c r="AI20" s="5"/>
      <c r="AJ20" s="5"/>
      <c r="AK20" s="5"/>
      <c r="AL20" s="5"/>
      <c r="AM20" s="5"/>
      <c r="AN20" s="5"/>
      <c r="AO20" s="5"/>
      <c r="AP20" s="5"/>
      <c r="AQ20" s="5"/>
      <c r="AR20" s="5"/>
      <c r="AS20" s="5"/>
      <c r="AT20" s="5"/>
    </row>
    <row r="21" spans="1:46" ht="12.75" customHeight="1" x14ac:dyDescent="0.2">
      <c r="A21" s="6"/>
      <c r="B21" s="10" t="s">
        <v>57</v>
      </c>
      <c r="C21" s="6"/>
      <c r="D21" s="7"/>
      <c r="E21" s="6" t="s">
        <v>46</v>
      </c>
      <c r="F21" s="3">
        <f>(0.73+0.86)/2</f>
        <v>0.79499999999999993</v>
      </c>
      <c r="G21" s="3">
        <f>(27+35)/2</f>
        <v>31</v>
      </c>
      <c r="H21" s="3">
        <f>(9.9+7.3)/2</f>
        <v>8.6</v>
      </c>
      <c r="I21" s="3"/>
      <c r="J21" s="3">
        <f>(36+39)/2</f>
        <v>37.5</v>
      </c>
      <c r="K21" s="3"/>
      <c r="L21" s="3"/>
      <c r="M21" s="3"/>
      <c r="N21" s="3"/>
      <c r="O21" s="4"/>
      <c r="P21" s="4"/>
      <c r="Q21" s="5"/>
      <c r="R21" s="5"/>
      <c r="S21" s="5"/>
      <c r="T21" s="5"/>
      <c r="X21" s="5"/>
      <c r="Y21" s="5"/>
      <c r="Z21" s="5"/>
      <c r="AA21" s="5"/>
      <c r="AB21" s="5"/>
      <c r="AC21" s="5"/>
      <c r="AD21" s="5"/>
      <c r="AE21" s="5"/>
      <c r="AF21" s="5"/>
      <c r="AG21" s="5"/>
      <c r="AH21" s="5"/>
      <c r="AI21" s="5"/>
      <c r="AJ21" s="5"/>
      <c r="AK21" s="5"/>
      <c r="AL21" s="5"/>
      <c r="AM21" s="5"/>
      <c r="AN21" s="5"/>
      <c r="AO21" s="5"/>
      <c r="AP21" s="5"/>
      <c r="AQ21" s="5"/>
      <c r="AR21" s="5"/>
      <c r="AS21" s="5"/>
      <c r="AT21" s="5"/>
    </row>
    <row r="22" spans="1:46" ht="12.75" customHeight="1" x14ac:dyDescent="0.2">
      <c r="A22" s="6"/>
      <c r="B22" s="6" t="s">
        <v>58</v>
      </c>
      <c r="C22" s="6" t="s">
        <v>59</v>
      </c>
      <c r="D22" s="7"/>
      <c r="E22" s="6" t="s">
        <v>45</v>
      </c>
      <c r="F22" s="3">
        <v>0.65</v>
      </c>
      <c r="G22" s="3">
        <v>27</v>
      </c>
      <c r="H22" s="3">
        <v>5.7</v>
      </c>
      <c r="I22" s="3"/>
      <c r="J22" s="3">
        <v>8.4</v>
      </c>
      <c r="K22" s="3"/>
      <c r="L22" s="3"/>
      <c r="M22" s="3"/>
      <c r="N22" s="3"/>
      <c r="O22" s="4"/>
      <c r="P22" s="4"/>
      <c r="Q22" s="5"/>
      <c r="R22" s="5"/>
      <c r="S22" s="5"/>
      <c r="T22" s="5"/>
      <c r="X22" s="5"/>
      <c r="Y22" s="5"/>
      <c r="Z22" s="5"/>
      <c r="AA22" s="5"/>
      <c r="AB22" s="5"/>
      <c r="AC22" s="5"/>
      <c r="AD22" s="5"/>
      <c r="AE22" s="5"/>
      <c r="AF22" s="5"/>
      <c r="AG22" s="5"/>
      <c r="AH22" s="5"/>
      <c r="AI22" s="5"/>
      <c r="AJ22" s="5"/>
      <c r="AK22" s="5"/>
      <c r="AL22" s="5"/>
      <c r="AM22" s="5"/>
      <c r="AN22" s="5"/>
      <c r="AO22" s="5"/>
      <c r="AP22" s="5"/>
      <c r="AQ22" s="5"/>
      <c r="AR22" s="5"/>
      <c r="AS22" s="5"/>
      <c r="AT22" s="5"/>
    </row>
    <row r="23" spans="1:46" ht="12.75" customHeight="1" x14ac:dyDescent="0.2">
      <c r="A23" s="6"/>
      <c r="B23" s="6" t="s">
        <v>60</v>
      </c>
      <c r="C23" s="6"/>
      <c r="D23" s="7"/>
      <c r="E23" s="6" t="s">
        <v>45</v>
      </c>
      <c r="F23" s="3">
        <f>(3+5)/2</f>
        <v>4</v>
      </c>
      <c r="G23" s="3">
        <f>(25+30)/2</f>
        <v>27.5</v>
      </c>
      <c r="H23" s="3">
        <f>(20+25)/2</f>
        <v>22.5</v>
      </c>
      <c r="I23" s="3"/>
      <c r="J23" s="3">
        <f>(32+50)/2</f>
        <v>41</v>
      </c>
      <c r="K23" s="3"/>
      <c r="L23" s="3"/>
      <c r="M23" s="3">
        <f>(90+95)/2</f>
        <v>92.5</v>
      </c>
      <c r="N23" s="3"/>
      <c r="O23" s="4"/>
      <c r="P23" s="4"/>
      <c r="Q23" s="5"/>
      <c r="R23" s="5"/>
      <c r="S23" s="5"/>
      <c r="T23" s="5"/>
      <c r="X23" s="5"/>
      <c r="Y23" s="5"/>
      <c r="Z23" s="5"/>
      <c r="AA23" s="5"/>
      <c r="AB23" s="5"/>
      <c r="AC23" s="5"/>
      <c r="AD23" s="5"/>
      <c r="AE23" s="5"/>
      <c r="AF23" s="5"/>
      <c r="AG23" s="5"/>
      <c r="AH23" s="5"/>
      <c r="AI23" s="5"/>
      <c r="AJ23" s="5"/>
      <c r="AK23" s="5"/>
      <c r="AL23" s="5"/>
      <c r="AM23" s="5"/>
      <c r="AN23" s="5"/>
      <c r="AO23" s="5"/>
      <c r="AP23" s="5"/>
      <c r="AQ23" s="5"/>
      <c r="AR23" s="5"/>
      <c r="AS23" s="5"/>
      <c r="AT23" s="5"/>
    </row>
    <row r="24" spans="1:46" ht="12.75" customHeight="1" x14ac:dyDescent="0.2">
      <c r="A24" s="6"/>
      <c r="B24" s="6" t="s">
        <v>60</v>
      </c>
      <c r="C24" s="6"/>
      <c r="D24" s="7"/>
      <c r="E24" s="6" t="s">
        <v>46</v>
      </c>
      <c r="F24" s="3">
        <f>(2+2.5)/2</f>
        <v>2.25</v>
      </c>
      <c r="G24" s="3">
        <f>(25+29)/2</f>
        <v>27</v>
      </c>
      <c r="H24" s="3">
        <f>(12+13)/2</f>
        <v>12.5</v>
      </c>
      <c r="I24" s="3"/>
      <c r="J24" s="3">
        <f>(25+28)/2</f>
        <v>26.5</v>
      </c>
      <c r="K24" s="3"/>
      <c r="L24" s="3"/>
      <c r="M24" s="3"/>
      <c r="N24" s="3"/>
      <c r="O24" s="4"/>
      <c r="P24" s="4"/>
      <c r="Q24" s="5"/>
      <c r="R24" s="5"/>
      <c r="S24" s="5"/>
      <c r="T24" s="5"/>
      <c r="X24" s="5"/>
      <c r="Y24" s="5"/>
      <c r="Z24" s="5"/>
      <c r="AA24" s="5"/>
      <c r="AB24" s="5"/>
      <c r="AC24" s="5"/>
      <c r="AD24" s="5"/>
      <c r="AE24" s="5"/>
      <c r="AF24" s="5"/>
      <c r="AG24" s="5"/>
      <c r="AH24" s="5"/>
      <c r="AI24" s="5"/>
      <c r="AJ24" s="5"/>
      <c r="AK24" s="5"/>
      <c r="AL24" s="5"/>
      <c r="AM24" s="5"/>
      <c r="AN24" s="5"/>
      <c r="AO24" s="5"/>
      <c r="AP24" s="5"/>
      <c r="AQ24" s="5"/>
      <c r="AR24" s="5"/>
      <c r="AS24" s="5"/>
      <c r="AT24" s="5"/>
    </row>
    <row r="25" spans="1:46" ht="12.75" customHeight="1" x14ac:dyDescent="0.2">
      <c r="A25" s="6"/>
      <c r="B25" s="6" t="s">
        <v>61</v>
      </c>
      <c r="C25" s="6"/>
      <c r="D25" s="7"/>
      <c r="E25" s="6" t="s">
        <v>45</v>
      </c>
      <c r="F25" s="3">
        <v>1.78</v>
      </c>
      <c r="G25" s="3">
        <f>(30+36)/2</f>
        <v>33</v>
      </c>
      <c r="H25" s="3">
        <v>7.5</v>
      </c>
      <c r="I25" s="3"/>
      <c r="J25" s="3">
        <f>(22+28)/2</f>
        <v>25</v>
      </c>
      <c r="K25" s="3"/>
      <c r="L25" s="3"/>
      <c r="M25" s="3">
        <f>(78+80)/2</f>
        <v>79</v>
      </c>
      <c r="N25" s="3"/>
      <c r="O25" s="4"/>
      <c r="P25" s="4"/>
      <c r="Q25" s="5"/>
      <c r="R25" s="5"/>
      <c r="S25" s="5"/>
      <c r="T25" s="5"/>
      <c r="X25" s="5"/>
      <c r="Y25" s="5"/>
      <c r="Z25" s="5"/>
      <c r="AA25" s="5"/>
      <c r="AB25" s="5"/>
      <c r="AC25" s="5"/>
      <c r="AD25" s="5"/>
      <c r="AE25" s="5"/>
      <c r="AF25" s="5"/>
      <c r="AG25" s="5"/>
      <c r="AH25" s="5"/>
      <c r="AI25" s="5"/>
      <c r="AJ25" s="5"/>
      <c r="AK25" s="5"/>
      <c r="AL25" s="5"/>
      <c r="AM25" s="5"/>
      <c r="AN25" s="5"/>
      <c r="AO25" s="5"/>
      <c r="AP25" s="5"/>
      <c r="AQ25" s="5"/>
      <c r="AR25" s="5"/>
      <c r="AS25" s="5"/>
      <c r="AT25" s="5"/>
    </row>
    <row r="26" spans="1:46" ht="12.75" customHeight="1" x14ac:dyDescent="0.2">
      <c r="A26" s="6"/>
      <c r="B26" s="6" t="s">
        <v>61</v>
      </c>
      <c r="C26" s="6"/>
      <c r="D26" s="7"/>
      <c r="E26" s="6" t="s">
        <v>46</v>
      </c>
      <c r="F26" s="3">
        <v>1.76</v>
      </c>
      <c r="G26" s="3">
        <f>(50+60)/2</f>
        <v>55</v>
      </c>
      <c r="H26" s="3"/>
      <c r="I26" s="3"/>
      <c r="J26" s="3">
        <f>(14+19)/2</f>
        <v>16.5</v>
      </c>
      <c r="K26" s="3"/>
      <c r="L26" s="3"/>
      <c r="M26" s="3"/>
      <c r="N26" s="3"/>
      <c r="O26" s="4"/>
      <c r="P26" s="4"/>
      <c r="Q26" s="5"/>
      <c r="R26" s="5"/>
      <c r="S26" s="5"/>
      <c r="T26" s="5"/>
      <c r="X26" s="5"/>
      <c r="Y26" s="5"/>
      <c r="Z26" s="5"/>
      <c r="AA26" s="5"/>
      <c r="AB26" s="5"/>
      <c r="AC26" s="5"/>
      <c r="AD26" s="5"/>
      <c r="AE26" s="5"/>
      <c r="AF26" s="5"/>
      <c r="AG26" s="5"/>
      <c r="AH26" s="5"/>
      <c r="AI26" s="5"/>
      <c r="AJ26" s="5"/>
      <c r="AK26" s="5"/>
      <c r="AL26" s="5"/>
      <c r="AM26" s="5"/>
      <c r="AN26" s="5"/>
      <c r="AO26" s="5"/>
      <c r="AP26" s="5"/>
      <c r="AQ26" s="5"/>
      <c r="AR26" s="5"/>
      <c r="AS26" s="5"/>
      <c r="AT26" s="5"/>
    </row>
    <row r="27" spans="1:46" ht="12.75" customHeight="1" x14ac:dyDescent="0.2">
      <c r="A27" s="6"/>
      <c r="B27" s="6" t="s">
        <v>62</v>
      </c>
      <c r="C27" s="6"/>
      <c r="D27" s="7"/>
      <c r="E27" s="6" t="s">
        <v>45</v>
      </c>
      <c r="F27" s="3">
        <f>(0.43+0.84)/2</f>
        <v>0.63500000000000001</v>
      </c>
      <c r="G27" s="3">
        <f>(26+38)/2</f>
        <v>32</v>
      </c>
      <c r="H27" s="3">
        <f>(4.9+6.5)/2</f>
        <v>5.7</v>
      </c>
      <c r="I27" s="3"/>
      <c r="J27" s="3">
        <f>(6.5+10)/2</f>
        <v>8.25</v>
      </c>
      <c r="K27" s="3"/>
      <c r="L27" s="3"/>
      <c r="M27" s="3">
        <f>(62+69)/2</f>
        <v>65.5</v>
      </c>
      <c r="N27" s="3"/>
      <c r="O27" s="4"/>
      <c r="P27" s="4"/>
      <c r="Q27" s="5"/>
      <c r="R27" s="5"/>
      <c r="S27" s="5"/>
      <c r="T27" s="5"/>
      <c r="V27" s="6"/>
      <c r="W27" s="6"/>
      <c r="X27" s="5"/>
      <c r="Y27" s="5"/>
      <c r="Z27" s="5"/>
      <c r="AA27" s="5"/>
      <c r="AB27" s="5"/>
      <c r="AC27" s="5"/>
      <c r="AD27" s="5"/>
      <c r="AE27" s="5"/>
      <c r="AF27" s="5"/>
      <c r="AG27" s="5"/>
      <c r="AH27" s="5"/>
      <c r="AI27" s="5"/>
      <c r="AJ27" s="5"/>
      <c r="AK27" s="5"/>
      <c r="AL27" s="5"/>
      <c r="AM27" s="5"/>
      <c r="AN27" s="5"/>
      <c r="AO27" s="5"/>
      <c r="AP27" s="5"/>
      <c r="AQ27" s="5"/>
      <c r="AR27" s="5"/>
      <c r="AS27" s="5"/>
      <c r="AT27" s="5"/>
    </row>
    <row r="28" spans="1:46" ht="12.75" customHeight="1" x14ac:dyDescent="0.2">
      <c r="A28" s="6"/>
      <c r="B28" s="6" t="s">
        <v>62</v>
      </c>
      <c r="C28" s="6"/>
      <c r="D28" s="7"/>
      <c r="E28" s="6" t="s">
        <v>46</v>
      </c>
      <c r="F28" s="3">
        <v>0.6</v>
      </c>
      <c r="G28" s="3">
        <f>(36+45)/2</f>
        <v>40.5</v>
      </c>
      <c r="H28" s="3">
        <f>(5.5+5.9)/2</f>
        <v>5.7</v>
      </c>
      <c r="I28" s="3"/>
      <c r="J28" s="3">
        <f>(8+10)/2</f>
        <v>9</v>
      </c>
      <c r="K28" s="3"/>
      <c r="L28" s="3"/>
      <c r="M28" s="3"/>
      <c r="N28" s="3"/>
      <c r="O28" s="4"/>
      <c r="P28" s="4"/>
      <c r="Q28" s="5"/>
      <c r="R28" s="5"/>
      <c r="S28" s="5"/>
      <c r="T28" s="5"/>
      <c r="X28" s="5"/>
      <c r="Y28" s="5"/>
      <c r="Z28" s="5"/>
      <c r="AA28" s="5"/>
      <c r="AB28" s="5"/>
      <c r="AC28" s="5"/>
      <c r="AD28" s="5"/>
      <c r="AE28" s="5"/>
      <c r="AF28" s="5"/>
      <c r="AG28" s="5"/>
      <c r="AH28" s="5"/>
      <c r="AI28" s="5"/>
      <c r="AJ28" s="5"/>
      <c r="AK28" s="5"/>
      <c r="AL28" s="5"/>
      <c r="AM28" s="5"/>
      <c r="AN28" s="5"/>
      <c r="AO28" s="5"/>
      <c r="AP28" s="5"/>
      <c r="AQ28" s="5"/>
      <c r="AR28" s="5"/>
      <c r="AS28" s="5"/>
      <c r="AT28" s="5"/>
    </row>
    <row r="29" spans="1:46" ht="12.75" customHeight="1" x14ac:dyDescent="0.2">
      <c r="A29" s="6"/>
      <c r="B29" s="6" t="s">
        <v>63</v>
      </c>
      <c r="C29" s="6"/>
      <c r="D29" s="7"/>
      <c r="E29" s="6" t="s">
        <v>46</v>
      </c>
      <c r="F29" s="3">
        <v>0.7</v>
      </c>
      <c r="G29" s="3">
        <v>39</v>
      </c>
      <c r="H29" s="3">
        <v>6.7</v>
      </c>
      <c r="I29" s="3"/>
      <c r="J29" s="3">
        <v>6.7</v>
      </c>
      <c r="K29" s="3"/>
      <c r="L29" s="3"/>
      <c r="M29" s="3"/>
      <c r="N29" s="3"/>
      <c r="O29" s="4"/>
      <c r="P29" s="4"/>
      <c r="Q29" s="5"/>
      <c r="R29" s="5"/>
      <c r="S29" s="5"/>
      <c r="T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5"/>
      <c r="AI29" s="5"/>
      <c r="AJ29" s="5"/>
      <c r="AK29" s="5"/>
      <c r="AL29" s="5"/>
      <c r="AM29" s="5"/>
      <c r="AN29" s="5"/>
      <c r="AO29" s="5"/>
      <c r="AP29" s="5"/>
      <c r="AQ29" s="5"/>
      <c r="AR29" s="5"/>
      <c r="AS29" s="5"/>
      <c r="AT29" s="5"/>
    </row>
    <row r="30" spans="1:46" ht="12.75" customHeight="1" x14ac:dyDescent="0.2">
      <c r="A30" s="6"/>
      <c r="B30" s="6" t="s">
        <v>64</v>
      </c>
      <c r="C30" s="6"/>
      <c r="D30" s="7"/>
      <c r="E30" s="6" t="s">
        <v>45</v>
      </c>
      <c r="F30" s="3">
        <f>(0.35+0.49)/2</f>
        <v>0.42</v>
      </c>
      <c r="G30" s="3">
        <f>(29+32)/2</f>
        <v>30.5</v>
      </c>
      <c r="H30" s="3">
        <f>(3+3.6)/2</f>
        <v>3.3</v>
      </c>
      <c r="I30" s="3"/>
      <c r="J30" s="3">
        <f>(7.6+9.9)/2</f>
        <v>8.75</v>
      </c>
      <c r="K30" s="3"/>
      <c r="L30" s="3"/>
      <c r="M30" s="3">
        <f>(72+74)/2</f>
        <v>73</v>
      </c>
      <c r="N30" s="3"/>
      <c r="O30" s="4"/>
      <c r="P30" s="4"/>
      <c r="Q30" s="5"/>
      <c r="R30" s="5"/>
      <c r="S30" s="5"/>
      <c r="T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5"/>
      <c r="AI30" s="5"/>
      <c r="AJ30" s="5"/>
      <c r="AK30" s="5"/>
      <c r="AL30" s="5"/>
      <c r="AM30" s="5"/>
      <c r="AN30" s="5"/>
      <c r="AO30" s="5"/>
      <c r="AP30" s="5"/>
      <c r="AQ30" s="5"/>
      <c r="AR30" s="5"/>
      <c r="AS30" s="5"/>
      <c r="AT30" s="5"/>
    </row>
    <row r="31" spans="1:46" ht="12.75" customHeight="1" x14ac:dyDescent="0.2">
      <c r="A31" s="6"/>
      <c r="B31" s="6" t="s">
        <v>64</v>
      </c>
      <c r="C31" s="6"/>
      <c r="D31" s="7"/>
      <c r="E31" s="6" t="s">
        <v>46</v>
      </c>
      <c r="F31" s="3">
        <f>(0.31+0.37)/2</f>
        <v>0.33999999999999997</v>
      </c>
      <c r="G31" s="3">
        <f>(31+34)/2</f>
        <v>32.5</v>
      </c>
      <c r="H31" s="3">
        <f>(6.3+6.8)/2</f>
        <v>6.55</v>
      </c>
      <c r="I31" s="3"/>
      <c r="J31" s="3">
        <f>(7.5+8.3)/2</f>
        <v>7.9</v>
      </c>
      <c r="K31" s="3"/>
      <c r="L31" s="3"/>
      <c r="M31" s="3"/>
      <c r="N31" s="3"/>
      <c r="O31" s="4"/>
      <c r="P31" s="4"/>
      <c r="Q31" s="5"/>
      <c r="R31" s="5"/>
      <c r="S31" s="5"/>
      <c r="T31" s="5"/>
      <c r="X31" s="5"/>
      <c r="Y31" s="5"/>
      <c r="Z31" s="5"/>
      <c r="AA31" s="5"/>
      <c r="AB31" s="5"/>
      <c r="AC31" s="5"/>
      <c r="AD31" s="5"/>
      <c r="AE31" s="5"/>
      <c r="AF31" s="5"/>
      <c r="AG31" s="5"/>
      <c r="AH31" s="5"/>
      <c r="AI31" s="5"/>
      <c r="AJ31" s="5"/>
      <c r="AK31" s="5"/>
      <c r="AL31" s="5"/>
      <c r="AM31" s="5"/>
      <c r="AN31" s="5"/>
      <c r="AO31" s="5"/>
      <c r="AP31" s="5"/>
      <c r="AQ31" s="5"/>
      <c r="AR31" s="5"/>
      <c r="AS31" s="5"/>
      <c r="AT31" s="5"/>
    </row>
    <row r="32" spans="1:46" ht="12.75" customHeight="1" x14ac:dyDescent="0.2">
      <c r="A32" s="6"/>
      <c r="B32" s="6" t="s">
        <v>65</v>
      </c>
      <c r="C32" s="6"/>
      <c r="D32" s="7"/>
      <c r="E32" s="6" t="s">
        <v>46</v>
      </c>
      <c r="F32" s="3">
        <f>(1.3+1.63)/2</f>
        <v>1.4649999999999999</v>
      </c>
      <c r="G32" s="3">
        <v>37</v>
      </c>
      <c r="H32" s="3">
        <v>5.7</v>
      </c>
      <c r="I32" s="3"/>
      <c r="J32" s="3">
        <v>99</v>
      </c>
      <c r="K32" s="3"/>
      <c r="L32" s="3"/>
      <c r="M32" s="3"/>
      <c r="N32" s="3"/>
      <c r="O32" s="4"/>
      <c r="P32" s="4"/>
      <c r="Q32" s="5"/>
      <c r="R32" s="5"/>
      <c r="S32" s="5"/>
      <c r="T32" s="5"/>
      <c r="X32" s="5"/>
      <c r="Y32" s="5"/>
      <c r="Z32" s="5"/>
      <c r="AA32" s="5"/>
      <c r="AB32" s="5"/>
      <c r="AC32" s="5"/>
      <c r="AD32" s="5"/>
      <c r="AE32" s="5"/>
      <c r="AF32" s="5"/>
      <c r="AG32" s="5"/>
      <c r="AH32" s="5"/>
      <c r="AI32" s="5"/>
      <c r="AJ32" s="5"/>
      <c r="AK32" s="5"/>
      <c r="AL32" s="5"/>
      <c r="AM32" s="5"/>
      <c r="AN32" s="5"/>
      <c r="AO32" s="5"/>
      <c r="AP32" s="5"/>
      <c r="AQ32" s="5"/>
      <c r="AR32" s="5"/>
      <c r="AS32" s="5"/>
      <c r="AT32" s="5"/>
    </row>
    <row r="33" spans="1:46" ht="12.75" customHeight="1" x14ac:dyDescent="0.2">
      <c r="A33" s="6"/>
      <c r="B33" s="6" t="s">
        <v>66</v>
      </c>
      <c r="C33" s="6"/>
      <c r="D33" s="7"/>
      <c r="E33" s="6" t="s">
        <v>45</v>
      </c>
      <c r="F33" s="3">
        <f>(0.55+0.8)/2</f>
        <v>0.67500000000000004</v>
      </c>
      <c r="G33" s="3"/>
      <c r="H33" s="3"/>
      <c r="I33" s="3"/>
      <c r="J33" s="3"/>
      <c r="K33" s="3"/>
      <c r="L33" s="3"/>
      <c r="M33" s="3"/>
      <c r="N33" s="3"/>
      <c r="O33" s="4"/>
      <c r="P33" s="4"/>
      <c r="Q33" s="5"/>
      <c r="R33" s="5"/>
      <c r="S33" s="5"/>
      <c r="T33" s="5"/>
      <c r="X33" s="5"/>
      <c r="Y33" s="5"/>
      <c r="Z33" s="5"/>
      <c r="AA33" s="5"/>
      <c r="AB33" s="5"/>
      <c r="AC33" s="5"/>
      <c r="AD33" s="5"/>
      <c r="AE33" s="5"/>
      <c r="AF33" s="5"/>
      <c r="AG33" s="5"/>
      <c r="AH33" s="5"/>
      <c r="AI33" s="5"/>
      <c r="AJ33" s="5"/>
      <c r="AK33" s="5"/>
      <c r="AL33" s="5"/>
      <c r="AM33" s="5"/>
      <c r="AN33" s="5"/>
      <c r="AO33" s="5"/>
      <c r="AP33" s="5"/>
      <c r="AQ33" s="5"/>
      <c r="AR33" s="5"/>
      <c r="AS33" s="5"/>
      <c r="AT33" s="5"/>
    </row>
    <row r="34" spans="1:46" ht="12.75" customHeight="1" x14ac:dyDescent="0.2">
      <c r="A34" s="6"/>
      <c r="B34" s="6" t="s">
        <v>66</v>
      </c>
      <c r="C34" s="6"/>
      <c r="D34" s="7"/>
      <c r="E34" s="6" t="s">
        <v>46</v>
      </c>
      <c r="F34" s="3">
        <f>(0.94+1.44)/2</f>
        <v>1.19</v>
      </c>
      <c r="G34" s="3">
        <f>(26+42)/2</f>
        <v>34</v>
      </c>
      <c r="H34" s="3">
        <f>(7+13)/2</f>
        <v>10</v>
      </c>
      <c r="I34" s="3"/>
      <c r="J34" s="3"/>
      <c r="K34" s="3"/>
      <c r="L34" s="3"/>
      <c r="M34" s="3"/>
      <c r="N34" s="3"/>
      <c r="O34" s="4"/>
      <c r="P34" s="4"/>
      <c r="Q34" s="5"/>
      <c r="R34" s="5"/>
      <c r="S34" s="5"/>
      <c r="T34" s="5"/>
      <c r="X34" s="5"/>
      <c r="Y34" s="5"/>
      <c r="Z34" s="5"/>
      <c r="AA34" s="5"/>
      <c r="AB34" s="5"/>
      <c r="AC34" s="5"/>
      <c r="AD34" s="5"/>
      <c r="AE34" s="5"/>
      <c r="AF34" s="5"/>
      <c r="AG34" s="5"/>
      <c r="AH34" s="5"/>
      <c r="AI34" s="5"/>
      <c r="AJ34" s="5"/>
      <c r="AK34" s="5"/>
      <c r="AL34" s="5"/>
      <c r="AM34" s="5"/>
      <c r="AN34" s="5"/>
      <c r="AO34" s="5"/>
      <c r="AP34" s="5"/>
      <c r="AQ34" s="5"/>
      <c r="AR34" s="5"/>
      <c r="AS34" s="5"/>
      <c r="AT34" s="5"/>
    </row>
    <row r="35" spans="1:46" ht="12.75" customHeight="1" x14ac:dyDescent="0.2">
      <c r="A35" s="6"/>
      <c r="B35" s="6" t="s">
        <v>67</v>
      </c>
      <c r="C35" s="6"/>
      <c r="D35" s="7"/>
      <c r="E35" s="6" t="s">
        <v>45</v>
      </c>
      <c r="F35" s="3">
        <f>(0.5+0.8)/2</f>
        <v>0.65</v>
      </c>
      <c r="G35" s="3"/>
      <c r="H35" s="3"/>
      <c r="I35" s="3"/>
      <c r="J35" s="3"/>
      <c r="K35" s="3"/>
      <c r="L35" s="3"/>
      <c r="M35" s="3"/>
      <c r="N35" s="3"/>
      <c r="O35" s="4"/>
      <c r="P35" s="4"/>
      <c r="Q35" s="5"/>
      <c r="R35" s="5"/>
      <c r="S35" s="5"/>
      <c r="T35" s="5"/>
      <c r="X35" s="5"/>
      <c r="Y35" s="5"/>
      <c r="Z35" s="5"/>
      <c r="AA35" s="5"/>
      <c r="AB35" s="5"/>
      <c r="AC35" s="5"/>
      <c r="AD35" s="5"/>
      <c r="AE35" s="5"/>
      <c r="AF35" s="5"/>
      <c r="AG35" s="5"/>
      <c r="AH35" s="5"/>
      <c r="AI35" s="5"/>
      <c r="AJ35" s="5"/>
      <c r="AK35" s="5"/>
      <c r="AL35" s="5"/>
      <c r="AM35" s="5"/>
      <c r="AN35" s="5"/>
      <c r="AO35" s="5"/>
      <c r="AP35" s="5"/>
      <c r="AQ35" s="5"/>
      <c r="AR35" s="5"/>
      <c r="AS35" s="5"/>
      <c r="AT35" s="5"/>
    </row>
    <row r="36" spans="1:46" ht="12.75" customHeight="1" x14ac:dyDescent="0.2">
      <c r="A36" s="6"/>
      <c r="B36" s="6" t="s">
        <v>67</v>
      </c>
      <c r="C36" s="6"/>
      <c r="D36" s="7"/>
      <c r="E36" s="6" t="s">
        <v>46</v>
      </c>
      <c r="F36" s="3">
        <f>(0.46+0.51)/2</f>
        <v>0.48499999999999999</v>
      </c>
      <c r="G36" s="3">
        <f>(28+31)/2</f>
        <v>29.5</v>
      </c>
      <c r="H36" s="3">
        <f>(3.3+3.6)/2</f>
        <v>3.45</v>
      </c>
      <c r="I36" s="3"/>
      <c r="J36" s="3">
        <f>(183+210)/2</f>
        <v>196.5</v>
      </c>
      <c r="K36" s="3"/>
      <c r="L36" s="3"/>
      <c r="M36" s="3"/>
      <c r="N36" s="3"/>
      <c r="O36" s="4"/>
      <c r="P36" s="4"/>
      <c r="Q36" s="5"/>
      <c r="R36" s="5"/>
      <c r="S36" s="5"/>
      <c r="T36" s="5"/>
      <c r="X36" s="5"/>
      <c r="Y36" s="5"/>
      <c r="Z36" s="5"/>
      <c r="AA36" s="5"/>
      <c r="AB36" s="5"/>
      <c r="AC36" s="5"/>
      <c r="AD36" s="5"/>
      <c r="AE36" s="5"/>
      <c r="AF36" s="5"/>
      <c r="AG36" s="5"/>
      <c r="AH36" s="5"/>
      <c r="AI36" s="5"/>
      <c r="AJ36" s="5"/>
      <c r="AK36" s="5"/>
      <c r="AL36" s="5"/>
      <c r="AM36" s="5"/>
      <c r="AN36" s="5"/>
      <c r="AO36" s="5"/>
      <c r="AP36" s="5"/>
      <c r="AQ36" s="5"/>
      <c r="AR36" s="5"/>
      <c r="AS36" s="5"/>
      <c r="AT36" s="5"/>
    </row>
    <row r="37" spans="1:46" ht="12.75" customHeight="1" x14ac:dyDescent="0.2">
      <c r="A37" s="6"/>
      <c r="B37" s="1" t="s">
        <v>68</v>
      </c>
      <c r="C37" s="1"/>
      <c r="D37" s="2"/>
      <c r="E37" s="6" t="s">
        <v>45</v>
      </c>
      <c r="F37" s="3">
        <f>(1.5+1.6)/2</f>
        <v>1.55</v>
      </c>
      <c r="G37" s="3">
        <f>(30+37)/2</f>
        <v>33.5</v>
      </c>
      <c r="H37" s="3">
        <f>(6+8)/2</f>
        <v>7</v>
      </c>
      <c r="I37" s="3"/>
      <c r="J37" s="3">
        <f>(63+67)/2</f>
        <v>65</v>
      </c>
      <c r="K37" s="3"/>
      <c r="L37" s="3"/>
      <c r="M37" s="3">
        <f>(55+57)/2</f>
        <v>56</v>
      </c>
      <c r="N37" s="3"/>
      <c r="O37" s="4"/>
      <c r="P37" s="4"/>
      <c r="Q37" s="5"/>
      <c r="R37" s="5"/>
      <c r="S37" s="5"/>
      <c r="T37" s="5"/>
      <c r="U37" s="4"/>
      <c r="V37" s="5"/>
      <c r="W37" s="5"/>
      <c r="X37" s="5"/>
      <c r="Y37" s="5"/>
      <c r="Z37" s="5"/>
      <c r="AA37" s="5"/>
      <c r="AB37" s="5"/>
      <c r="AC37" s="5"/>
      <c r="AD37" s="5"/>
      <c r="AE37" s="5"/>
      <c r="AF37" s="5"/>
      <c r="AG37" s="5"/>
      <c r="AH37" s="5"/>
      <c r="AI37" s="5"/>
      <c r="AJ37" s="5"/>
      <c r="AK37" s="5"/>
      <c r="AL37" s="5"/>
      <c r="AM37" s="5"/>
      <c r="AN37" s="5"/>
      <c r="AO37" s="5"/>
      <c r="AP37" s="5"/>
      <c r="AQ37" s="5"/>
      <c r="AR37" s="5"/>
      <c r="AS37" s="5"/>
      <c r="AT37" s="5"/>
    </row>
    <row r="38" spans="1:46" ht="12.75" customHeight="1" x14ac:dyDescent="0.2">
      <c r="A38" s="6"/>
      <c r="B38" s="1" t="s">
        <v>68</v>
      </c>
      <c r="C38" s="1"/>
      <c r="D38" s="2"/>
      <c r="E38" s="6" t="s">
        <v>46</v>
      </c>
      <c r="F38" s="3">
        <f>(1.18+1.4)/2</f>
        <v>1.29</v>
      </c>
      <c r="G38" s="3">
        <f>(29+30)/2</f>
        <v>29.5</v>
      </c>
      <c r="H38" s="3">
        <f>(4.5+7)/2</f>
        <v>5.75</v>
      </c>
      <c r="I38" s="3"/>
      <c r="J38" s="3">
        <f>(32+37)/2</f>
        <v>34.5</v>
      </c>
      <c r="K38" s="3"/>
      <c r="L38" s="3"/>
      <c r="M38" s="3"/>
      <c r="N38" s="3"/>
      <c r="O38" s="4"/>
      <c r="P38" s="4"/>
      <c r="Q38" s="5"/>
      <c r="R38" s="5"/>
      <c r="S38" s="5"/>
      <c r="T38" s="5"/>
      <c r="U38" s="4"/>
      <c r="V38" s="5"/>
      <c r="W38" s="5"/>
      <c r="X38" s="5"/>
      <c r="Y38" s="5"/>
      <c r="Z38" s="5"/>
      <c r="AA38" s="5"/>
      <c r="AB38" s="5"/>
      <c r="AC38" s="5"/>
      <c r="AD38" s="5"/>
      <c r="AE38" s="5"/>
      <c r="AF38" s="5"/>
      <c r="AG38" s="5"/>
      <c r="AH38" s="5"/>
      <c r="AI38" s="5"/>
      <c r="AJ38" s="5"/>
      <c r="AK38" s="5"/>
      <c r="AL38" s="5"/>
      <c r="AM38" s="5"/>
      <c r="AN38" s="5"/>
      <c r="AO38" s="5"/>
      <c r="AP38" s="5"/>
      <c r="AQ38" s="5"/>
      <c r="AR38" s="5"/>
      <c r="AS38" s="5"/>
      <c r="AT38" s="5"/>
    </row>
    <row r="39" spans="1:46" ht="12.75" customHeight="1" x14ac:dyDescent="0.2">
      <c r="A39" s="6"/>
      <c r="B39" s="1" t="s">
        <v>69</v>
      </c>
      <c r="C39" s="1"/>
      <c r="D39" s="2"/>
      <c r="E39" s="6" t="s">
        <v>45</v>
      </c>
      <c r="F39" s="3">
        <f>(0.85+1)/2</f>
        <v>0.92500000000000004</v>
      </c>
      <c r="G39" s="3">
        <f>(26+29)/2</f>
        <v>27.5</v>
      </c>
      <c r="H39" s="3">
        <f>(7.1+7.7)/2</f>
        <v>7.4</v>
      </c>
      <c r="I39" s="3"/>
      <c r="J39" s="3">
        <f>(26+33)/2</f>
        <v>29.5</v>
      </c>
      <c r="K39" s="3"/>
      <c r="L39" s="3"/>
      <c r="M39" s="3">
        <f>(56+58)/2</f>
        <v>57</v>
      </c>
      <c r="N39" s="3"/>
      <c r="O39" s="4"/>
      <c r="P39" s="4"/>
      <c r="Q39" s="5"/>
      <c r="R39" s="5"/>
      <c r="S39" s="5"/>
      <c r="T39" s="5"/>
      <c r="U39" s="4"/>
      <c r="V39" s="5"/>
      <c r="W39" s="5"/>
      <c r="X39" s="5"/>
      <c r="Y39" s="5"/>
      <c r="Z39" s="5"/>
      <c r="AA39" s="5"/>
      <c r="AB39" s="5"/>
      <c r="AC39" s="5"/>
      <c r="AD39" s="5"/>
      <c r="AE39" s="5"/>
      <c r="AF39" s="5"/>
      <c r="AG39" s="5"/>
      <c r="AH39" s="5"/>
      <c r="AI39" s="5"/>
      <c r="AJ39" s="5"/>
      <c r="AK39" s="5"/>
      <c r="AL39" s="5"/>
      <c r="AM39" s="5"/>
      <c r="AN39" s="5"/>
      <c r="AO39" s="5"/>
      <c r="AP39" s="5"/>
      <c r="AQ39" s="5"/>
      <c r="AR39" s="5"/>
      <c r="AS39" s="5"/>
      <c r="AT39" s="5"/>
    </row>
    <row r="40" spans="1:46" ht="12.75" customHeight="1" x14ac:dyDescent="0.2">
      <c r="A40" s="6"/>
      <c r="B40" s="1" t="s">
        <v>69</v>
      </c>
      <c r="C40" s="1"/>
      <c r="D40" s="2"/>
      <c r="E40" s="6" t="s">
        <v>46</v>
      </c>
      <c r="F40" s="3">
        <f>(0.85+0.85)/2</f>
        <v>0.85</v>
      </c>
      <c r="G40" s="3">
        <f>(28+30)/2</f>
        <v>29</v>
      </c>
      <c r="H40" s="3">
        <f>(4.4+5.2)/2</f>
        <v>4.8000000000000007</v>
      </c>
      <c r="I40" s="3"/>
      <c r="J40" s="3">
        <f>(27+30)/2</f>
        <v>28.5</v>
      </c>
      <c r="K40" s="3"/>
      <c r="L40" s="3"/>
      <c r="M40" s="3"/>
      <c r="N40" s="3"/>
      <c r="O40" s="4"/>
      <c r="P40" s="4"/>
      <c r="Q40" s="5"/>
      <c r="R40" s="5"/>
      <c r="S40" s="5"/>
      <c r="T40" s="5"/>
      <c r="U40" s="4"/>
      <c r="V40" s="5"/>
      <c r="W40" s="5"/>
      <c r="X40" s="5"/>
      <c r="Y40" s="5"/>
      <c r="Z40" s="5"/>
      <c r="AA40" s="5"/>
      <c r="AB40" s="5"/>
      <c r="AC40" s="5"/>
      <c r="AD40" s="5"/>
      <c r="AE40" s="5"/>
      <c r="AF40" s="5"/>
      <c r="AG40" s="5"/>
      <c r="AH40" s="5"/>
      <c r="AI40" s="5"/>
      <c r="AJ40" s="5"/>
      <c r="AK40" s="5"/>
      <c r="AL40" s="5"/>
      <c r="AM40" s="5"/>
      <c r="AN40" s="5"/>
      <c r="AO40" s="5"/>
      <c r="AP40" s="5"/>
      <c r="AQ40" s="5"/>
      <c r="AR40" s="5"/>
      <c r="AS40" s="5"/>
      <c r="AT40" s="5"/>
    </row>
    <row r="41" spans="1:46" ht="12.75" customHeight="1" x14ac:dyDescent="0.2">
      <c r="A41" s="6"/>
      <c r="B41" s="1" t="s">
        <v>70</v>
      </c>
      <c r="C41" s="1"/>
      <c r="D41" s="2"/>
      <c r="E41" s="6" t="s">
        <v>45</v>
      </c>
      <c r="F41" s="3">
        <v>1.4</v>
      </c>
      <c r="G41" s="3">
        <v>31</v>
      </c>
      <c r="H41" s="3">
        <v>7.1</v>
      </c>
      <c r="I41" s="3"/>
      <c r="J41" s="3">
        <f>(80+120)/2</f>
        <v>100</v>
      </c>
      <c r="K41" s="3"/>
      <c r="L41" s="3"/>
      <c r="M41" s="3">
        <v>54</v>
      </c>
      <c r="N41" s="3"/>
      <c r="O41" s="4"/>
      <c r="P41" s="4"/>
      <c r="Q41" s="5"/>
      <c r="R41" s="5"/>
      <c r="S41" s="5"/>
      <c r="T41" s="5"/>
      <c r="U41" s="4"/>
      <c r="V41" s="5"/>
      <c r="W41" s="5"/>
      <c r="X41" s="5"/>
      <c r="Y41" s="5"/>
      <c r="Z41" s="5"/>
      <c r="AA41" s="5"/>
      <c r="AB41" s="5"/>
      <c r="AC41" s="5"/>
      <c r="AD41" s="5"/>
      <c r="AE41" s="5"/>
      <c r="AF41" s="5"/>
      <c r="AG41" s="5"/>
      <c r="AH41" s="5"/>
      <c r="AI41" s="5"/>
      <c r="AJ41" s="5"/>
      <c r="AK41" s="5"/>
      <c r="AL41" s="5"/>
      <c r="AM41" s="5"/>
      <c r="AN41" s="5"/>
      <c r="AO41" s="5"/>
      <c r="AP41" s="5"/>
      <c r="AQ41" s="5"/>
      <c r="AR41" s="5"/>
      <c r="AS41" s="5"/>
      <c r="AT41" s="5"/>
    </row>
    <row r="42" spans="1:46" ht="12.75" customHeight="1" x14ac:dyDescent="0.2">
      <c r="A42" s="6"/>
      <c r="B42" s="1" t="s">
        <v>70</v>
      </c>
      <c r="C42" s="1"/>
      <c r="D42" s="2"/>
      <c r="E42" s="6" t="s">
        <v>46</v>
      </c>
      <c r="F42" s="3">
        <v>1.4</v>
      </c>
      <c r="G42" s="3">
        <v>38</v>
      </c>
      <c r="H42" s="3">
        <v>7.5</v>
      </c>
      <c r="I42" s="3"/>
      <c r="J42" s="3">
        <v>49</v>
      </c>
      <c r="K42" s="3"/>
      <c r="L42" s="3"/>
      <c r="M42" s="3"/>
      <c r="N42" s="3"/>
      <c r="O42" s="4"/>
      <c r="P42" s="4"/>
      <c r="Q42" s="5"/>
      <c r="R42" s="5"/>
      <c r="S42" s="5"/>
      <c r="T42" s="5"/>
      <c r="U42" s="4"/>
      <c r="V42" s="5"/>
      <c r="W42" s="5"/>
      <c r="X42" s="5"/>
      <c r="Y42" s="5"/>
      <c r="Z42" s="5"/>
      <c r="AA42" s="5"/>
      <c r="AB42" s="5"/>
      <c r="AC42" s="5"/>
      <c r="AD42" s="5"/>
      <c r="AE42" s="5"/>
      <c r="AF42" s="5"/>
      <c r="AG42" s="5"/>
      <c r="AH42" s="5"/>
      <c r="AI42" s="5"/>
      <c r="AJ42" s="5"/>
      <c r="AK42" s="5"/>
      <c r="AL42" s="5"/>
      <c r="AM42" s="5"/>
      <c r="AN42" s="5"/>
      <c r="AO42" s="5"/>
      <c r="AP42" s="5"/>
      <c r="AQ42" s="5"/>
      <c r="AR42" s="5"/>
      <c r="AS42" s="5"/>
      <c r="AT42" s="5"/>
    </row>
    <row r="43" spans="1:46" ht="12.75" customHeight="1" x14ac:dyDescent="0.2">
      <c r="A43" s="6"/>
      <c r="B43" s="1" t="s">
        <v>71</v>
      </c>
      <c r="C43" s="1"/>
      <c r="D43" s="2"/>
      <c r="E43" s="6" t="s">
        <v>45</v>
      </c>
      <c r="F43" s="3">
        <f>(0.46+0.68)/2</f>
        <v>0.57000000000000006</v>
      </c>
      <c r="G43" s="3">
        <f>(24+29)/2</f>
        <v>26.5</v>
      </c>
      <c r="H43" s="3">
        <f>(4.5+6)/2</f>
        <v>5.25</v>
      </c>
      <c r="I43" s="3"/>
      <c r="J43" s="3">
        <f>(48+63)/2</f>
        <v>55.5</v>
      </c>
      <c r="K43" s="3"/>
      <c r="L43" s="3"/>
      <c r="M43" s="3">
        <f>(64+72)/2</f>
        <v>68</v>
      </c>
      <c r="N43" s="3"/>
      <c r="O43" s="4"/>
      <c r="P43" s="4"/>
      <c r="Q43" s="5"/>
      <c r="R43" s="5"/>
      <c r="S43" s="5"/>
      <c r="T43" s="5"/>
      <c r="U43" s="4"/>
      <c r="V43" s="5"/>
      <c r="W43" s="5"/>
      <c r="X43" s="5"/>
      <c r="Y43" s="5"/>
      <c r="Z43" s="5"/>
      <c r="AA43" s="5"/>
      <c r="AB43" s="5"/>
      <c r="AC43" s="5"/>
      <c r="AD43" s="5"/>
      <c r="AE43" s="5"/>
      <c r="AF43" s="5"/>
      <c r="AG43" s="5"/>
      <c r="AH43" s="5"/>
      <c r="AI43" s="5"/>
      <c r="AJ43" s="5"/>
      <c r="AK43" s="5"/>
      <c r="AL43" s="5"/>
      <c r="AM43" s="5"/>
      <c r="AN43" s="5"/>
      <c r="AO43" s="5"/>
      <c r="AP43" s="5"/>
      <c r="AQ43" s="5"/>
      <c r="AR43" s="5"/>
      <c r="AS43" s="5"/>
      <c r="AT43" s="5"/>
    </row>
    <row r="44" spans="1:46" ht="12.75" customHeight="1" x14ac:dyDescent="0.2">
      <c r="A44" s="6"/>
      <c r="B44" s="1" t="s">
        <v>71</v>
      </c>
      <c r="C44" s="1"/>
      <c r="D44" s="2"/>
      <c r="E44" s="6" t="s">
        <v>46</v>
      </c>
      <c r="F44" s="3">
        <f>(0.44+0.56)/2</f>
        <v>0.5</v>
      </c>
      <c r="G44" s="3">
        <f>(27+33)/2</f>
        <v>30</v>
      </c>
      <c r="H44" s="3">
        <f>(3.8+4.8)/2</f>
        <v>4.3</v>
      </c>
      <c r="I44" s="3"/>
      <c r="J44" s="3">
        <f>(28+36)/2</f>
        <v>32</v>
      </c>
      <c r="K44" s="3"/>
      <c r="L44" s="3"/>
      <c r="M44" s="3"/>
      <c r="N44" s="3"/>
      <c r="O44" s="4"/>
      <c r="P44" s="4"/>
      <c r="Q44" s="5"/>
      <c r="R44" s="5"/>
      <c r="S44" s="5"/>
      <c r="T44" s="5"/>
      <c r="U44" s="4"/>
      <c r="V44" s="5"/>
      <c r="W44" s="5"/>
      <c r="X44" s="5"/>
      <c r="Y44" s="5"/>
      <c r="Z44" s="5"/>
      <c r="AA44" s="5"/>
      <c r="AB44" s="5"/>
      <c r="AC44" s="5"/>
      <c r="AD44" s="5"/>
      <c r="AE44" s="5"/>
      <c r="AF44" s="5"/>
      <c r="AG44" s="5"/>
      <c r="AH44" s="5"/>
      <c r="AI44" s="5"/>
      <c r="AJ44" s="5"/>
      <c r="AK44" s="5"/>
      <c r="AL44" s="5"/>
      <c r="AM44" s="5"/>
      <c r="AN44" s="5"/>
      <c r="AO44" s="5"/>
      <c r="AP44" s="5"/>
      <c r="AQ44" s="5"/>
      <c r="AR44" s="5"/>
      <c r="AS44" s="5"/>
      <c r="AT44" s="5"/>
    </row>
    <row r="45" spans="1:46" ht="12.75" customHeight="1" x14ac:dyDescent="0.2">
      <c r="A45" s="6"/>
      <c r="B45" s="1" t="s">
        <v>72</v>
      </c>
      <c r="C45" s="1"/>
      <c r="D45" s="2"/>
      <c r="E45" s="6" t="s">
        <v>45</v>
      </c>
      <c r="F45" s="3">
        <f>(0.43+0.53)/2</f>
        <v>0.48</v>
      </c>
      <c r="G45" s="3">
        <f>(18+22)/2</f>
        <v>20</v>
      </c>
      <c r="H45" s="3">
        <f>(3.6+4.4)/2</f>
        <v>4</v>
      </c>
      <c r="I45" s="3"/>
      <c r="J45" s="3">
        <f>(36+55)/2</f>
        <v>45.5</v>
      </c>
      <c r="K45" s="3"/>
      <c r="L45" s="3"/>
      <c r="M45" s="3">
        <f>(90+92)/2</f>
        <v>91</v>
      </c>
      <c r="N45" s="3"/>
      <c r="O45" s="4"/>
      <c r="P45" s="4"/>
      <c r="Q45" s="5"/>
      <c r="R45" s="5"/>
      <c r="S45" s="5"/>
      <c r="T45" s="5"/>
      <c r="U45" s="4"/>
      <c r="V45" s="5"/>
      <c r="W45" s="5"/>
      <c r="X45" s="5"/>
      <c r="Y45" s="5"/>
      <c r="Z45" s="5"/>
      <c r="AA45" s="5"/>
      <c r="AB45" s="5"/>
      <c r="AC45" s="5"/>
      <c r="AD45" s="5"/>
      <c r="AE45" s="5"/>
      <c r="AF45" s="5"/>
      <c r="AG45" s="5"/>
      <c r="AH45" s="5"/>
      <c r="AI45" s="5"/>
      <c r="AJ45" s="5"/>
      <c r="AK45" s="5"/>
      <c r="AL45" s="5"/>
      <c r="AM45" s="5"/>
      <c r="AN45" s="5"/>
      <c r="AO45" s="5"/>
      <c r="AP45" s="5"/>
      <c r="AQ45" s="5"/>
      <c r="AR45" s="5"/>
      <c r="AS45" s="5"/>
      <c r="AT45" s="5"/>
    </row>
    <row r="46" spans="1:46" ht="12.75" customHeight="1" x14ac:dyDescent="0.2">
      <c r="A46" s="6"/>
      <c r="B46" s="1" t="s">
        <v>72</v>
      </c>
      <c r="C46" s="1"/>
      <c r="D46" s="2"/>
      <c r="E46" s="6" t="s">
        <v>46</v>
      </c>
      <c r="F46" s="3">
        <f>(0.37+0.44)/2</f>
        <v>0.40500000000000003</v>
      </c>
      <c r="G46" s="3">
        <f>(24+30)/2</f>
        <v>27</v>
      </c>
      <c r="H46" s="3">
        <f>(3.4+4.3)/2</f>
        <v>3.8499999999999996</v>
      </c>
      <c r="I46" s="3"/>
      <c r="J46" s="3">
        <f>(23+36)/2</f>
        <v>29.5</v>
      </c>
      <c r="K46" s="3"/>
      <c r="L46" s="3"/>
      <c r="M46" s="3"/>
      <c r="N46" s="3"/>
      <c r="O46" s="4"/>
      <c r="P46" s="4"/>
      <c r="Q46" s="5"/>
      <c r="R46" s="5"/>
      <c r="S46" s="5"/>
      <c r="T46" s="5"/>
      <c r="U46" s="4"/>
      <c r="V46" s="5"/>
      <c r="W46" s="5"/>
      <c r="X46" s="5"/>
      <c r="Y46" s="5"/>
      <c r="Z46" s="5"/>
      <c r="AA46" s="5"/>
      <c r="AB46" s="5"/>
      <c r="AC46" s="5"/>
      <c r="AD46" s="5"/>
      <c r="AE46" s="5"/>
      <c r="AF46" s="5"/>
      <c r="AG46" s="5"/>
      <c r="AH46" s="5"/>
      <c r="AI46" s="5"/>
      <c r="AJ46" s="5"/>
      <c r="AK46" s="5"/>
      <c r="AL46" s="5"/>
      <c r="AM46" s="5"/>
      <c r="AN46" s="5"/>
      <c r="AO46" s="5"/>
      <c r="AP46" s="5"/>
      <c r="AQ46" s="5"/>
      <c r="AR46" s="5"/>
      <c r="AS46" s="5"/>
      <c r="AT46" s="5"/>
    </row>
    <row r="47" spans="1:46" ht="12.75" customHeight="1" x14ac:dyDescent="0.2">
      <c r="A47" s="6"/>
      <c r="B47" s="1" t="s">
        <v>73</v>
      </c>
      <c r="C47" s="1"/>
      <c r="D47" s="2"/>
      <c r="E47" s="6" t="s">
        <v>45</v>
      </c>
      <c r="F47" s="3">
        <f>(2.32+2.66)/2</f>
        <v>2.4900000000000002</v>
      </c>
      <c r="G47" s="3">
        <f>(58+67)/2</f>
        <v>62.5</v>
      </c>
      <c r="H47" s="3">
        <f>(8+9.3)/2</f>
        <v>8.65</v>
      </c>
      <c r="I47" s="3"/>
      <c r="J47" s="3">
        <f>(14+17)/2</f>
        <v>15.5</v>
      </c>
      <c r="K47" s="3"/>
      <c r="L47" s="3"/>
      <c r="M47" s="3">
        <f>(48+49)/2</f>
        <v>48.5</v>
      </c>
      <c r="N47" s="3"/>
      <c r="O47" s="4"/>
      <c r="P47" s="4"/>
      <c r="Q47" s="5"/>
      <c r="R47" s="5"/>
      <c r="S47" s="5"/>
      <c r="T47" s="5"/>
      <c r="U47" s="4"/>
      <c r="V47" s="5"/>
      <c r="W47" s="5"/>
      <c r="X47" s="5"/>
      <c r="Y47" s="5"/>
      <c r="Z47" s="5"/>
      <c r="AA47" s="5"/>
      <c r="AB47" s="5"/>
      <c r="AC47" s="5"/>
      <c r="AD47" s="5"/>
      <c r="AE47" s="5"/>
      <c r="AF47" s="5"/>
      <c r="AG47" s="5"/>
      <c r="AH47" s="5"/>
      <c r="AI47" s="5"/>
      <c r="AJ47" s="5"/>
      <c r="AK47" s="5"/>
      <c r="AL47" s="5"/>
      <c r="AM47" s="5"/>
      <c r="AN47" s="5"/>
      <c r="AO47" s="5"/>
      <c r="AP47" s="5"/>
      <c r="AQ47" s="5"/>
      <c r="AR47" s="5"/>
      <c r="AS47" s="5"/>
      <c r="AT47" s="5"/>
    </row>
    <row r="48" spans="1:46" ht="12.75" customHeight="1" x14ac:dyDescent="0.2">
      <c r="A48" s="6"/>
      <c r="B48" s="1" t="s">
        <v>73</v>
      </c>
      <c r="C48" s="1"/>
      <c r="D48" s="2"/>
      <c r="E48" s="6" t="s">
        <v>46</v>
      </c>
      <c r="F48" s="3">
        <f>(1.8+2.08)/2</f>
        <v>1.94</v>
      </c>
      <c r="G48" s="3">
        <f>(61+89)/2</f>
        <v>75</v>
      </c>
      <c r="H48" s="3">
        <f>(6.8+8.8)/2</f>
        <v>7.8000000000000007</v>
      </c>
      <c r="I48" s="3"/>
      <c r="J48" s="3">
        <f>(13+14)/2</f>
        <v>13.5</v>
      </c>
      <c r="K48" s="3"/>
      <c r="L48" s="3"/>
      <c r="M48" s="3"/>
      <c r="N48" s="3"/>
      <c r="O48" s="4"/>
      <c r="P48" s="4"/>
      <c r="Q48" s="5"/>
      <c r="R48" s="5"/>
      <c r="S48" s="5"/>
      <c r="T48" s="5"/>
      <c r="U48" s="4"/>
      <c r="V48" s="5"/>
      <c r="W48" s="5"/>
      <c r="X48" s="5"/>
      <c r="Y48" s="5"/>
      <c r="Z48" s="5"/>
      <c r="AA48" s="5"/>
      <c r="AB48" s="5"/>
      <c r="AC48" s="5"/>
      <c r="AD48" s="5"/>
      <c r="AE48" s="5"/>
      <c r="AF48" s="5"/>
      <c r="AG48" s="5"/>
      <c r="AH48" s="5"/>
      <c r="AI48" s="5"/>
      <c r="AJ48" s="5"/>
      <c r="AK48" s="5"/>
      <c r="AL48" s="5"/>
      <c r="AM48" s="5"/>
      <c r="AN48" s="5"/>
      <c r="AO48" s="5"/>
      <c r="AP48" s="5"/>
      <c r="AQ48" s="5"/>
      <c r="AR48" s="5"/>
      <c r="AS48" s="5"/>
      <c r="AT48" s="5"/>
    </row>
    <row r="49" spans="1:46" ht="12.75" customHeight="1" x14ac:dyDescent="0.2">
      <c r="A49" s="6"/>
      <c r="B49" s="1" t="s">
        <v>74</v>
      </c>
      <c r="C49" s="1"/>
      <c r="D49" s="2"/>
      <c r="E49" s="6" t="s">
        <v>45</v>
      </c>
      <c r="F49" s="3">
        <f>(0.67+0.91)/2</f>
        <v>0.79</v>
      </c>
      <c r="G49" s="3">
        <f>(36+46)/2</f>
        <v>41</v>
      </c>
      <c r="H49" s="3">
        <f>(4.4+7.1)/2</f>
        <v>5.75</v>
      </c>
      <c r="I49" s="3"/>
      <c r="J49" s="3">
        <f>(11+13)/2</f>
        <v>12</v>
      </c>
      <c r="K49" s="3"/>
      <c r="L49" s="3"/>
      <c r="M49" s="3">
        <f>(60+60)/2</f>
        <v>60</v>
      </c>
      <c r="N49" s="3"/>
      <c r="O49" s="4"/>
      <c r="P49" s="4"/>
      <c r="Q49" s="5"/>
      <c r="R49" s="5"/>
      <c r="S49" s="5"/>
      <c r="T49" s="5"/>
      <c r="U49" s="4"/>
      <c r="V49" s="5"/>
      <c r="W49" s="5"/>
      <c r="X49" s="5"/>
      <c r="Y49" s="5"/>
      <c r="Z49" s="5"/>
      <c r="AA49" s="5"/>
      <c r="AB49" s="5"/>
      <c r="AC49" s="5"/>
      <c r="AD49" s="5"/>
      <c r="AE49" s="5"/>
      <c r="AF49" s="5"/>
      <c r="AG49" s="5"/>
      <c r="AH49" s="5"/>
      <c r="AI49" s="5"/>
      <c r="AJ49" s="5"/>
      <c r="AK49" s="5"/>
      <c r="AL49" s="5"/>
      <c r="AM49" s="5"/>
      <c r="AN49" s="5"/>
      <c r="AO49" s="5"/>
      <c r="AP49" s="5"/>
      <c r="AQ49" s="5"/>
      <c r="AR49" s="5"/>
      <c r="AS49" s="5"/>
      <c r="AT49" s="5"/>
    </row>
    <row r="50" spans="1:46" ht="12.75" customHeight="1" x14ac:dyDescent="0.2">
      <c r="A50" s="6"/>
      <c r="B50" s="1" t="s">
        <v>74</v>
      </c>
      <c r="C50" s="1"/>
      <c r="D50" s="2"/>
      <c r="E50" s="6" t="s">
        <v>46</v>
      </c>
      <c r="F50" s="3">
        <f>(0.69+0.74)/2</f>
        <v>0.71499999999999997</v>
      </c>
      <c r="G50" s="3">
        <f>(47+50)/2</f>
        <v>48.5</v>
      </c>
      <c r="H50" s="3">
        <f>(5.6+6.5)/2</f>
        <v>6.05</v>
      </c>
      <c r="I50" s="3"/>
      <c r="J50" s="3">
        <v>12</v>
      </c>
      <c r="K50" s="3"/>
      <c r="L50" s="3"/>
      <c r="M50" s="3"/>
      <c r="N50" s="3"/>
      <c r="O50" s="4"/>
      <c r="P50" s="4"/>
      <c r="Q50" s="5"/>
      <c r="R50" s="5"/>
      <c r="S50" s="5"/>
      <c r="T50" s="5"/>
      <c r="U50" s="4"/>
      <c r="V50" s="5"/>
      <c r="W50" s="5"/>
      <c r="X50" s="5"/>
      <c r="Y50" s="5"/>
      <c r="Z50" s="5"/>
      <c r="AA50" s="5"/>
      <c r="AB50" s="5"/>
      <c r="AC50" s="5"/>
      <c r="AD50" s="5"/>
      <c r="AE50" s="5"/>
      <c r="AF50" s="5"/>
      <c r="AG50" s="5"/>
      <c r="AH50" s="5"/>
      <c r="AI50" s="5"/>
      <c r="AJ50" s="5"/>
      <c r="AK50" s="5"/>
      <c r="AL50" s="5"/>
      <c r="AM50" s="5"/>
      <c r="AN50" s="5"/>
      <c r="AO50" s="5"/>
      <c r="AP50" s="5"/>
      <c r="AQ50" s="5"/>
      <c r="AR50" s="5"/>
      <c r="AS50" s="5"/>
      <c r="AT50" s="5"/>
    </row>
    <row r="51" spans="1:46" ht="12.75" customHeight="1" x14ac:dyDescent="0.2">
      <c r="A51" s="6"/>
      <c r="B51" s="1" t="s">
        <v>75</v>
      </c>
      <c r="C51" s="1"/>
      <c r="D51" s="2"/>
      <c r="E51" s="6" t="s">
        <v>45</v>
      </c>
      <c r="F51" s="3">
        <v>3</v>
      </c>
      <c r="G51" s="3">
        <v>48</v>
      </c>
      <c r="H51" s="3">
        <v>11</v>
      </c>
      <c r="I51" s="3"/>
      <c r="J51" s="3">
        <v>36</v>
      </c>
      <c r="K51" s="3"/>
      <c r="L51" s="3"/>
      <c r="M51" s="3">
        <v>52</v>
      </c>
      <c r="N51" s="3"/>
      <c r="O51" s="4"/>
      <c r="P51" s="4"/>
      <c r="Q51" s="5"/>
      <c r="R51" s="5"/>
      <c r="S51" s="5"/>
      <c r="T51" s="5"/>
      <c r="U51" s="4"/>
      <c r="V51" s="5"/>
      <c r="W51" s="5"/>
      <c r="X51" s="5"/>
      <c r="Y51" s="5"/>
      <c r="Z51" s="5"/>
      <c r="AA51" s="5"/>
      <c r="AB51" s="5"/>
      <c r="AC51" s="5"/>
      <c r="AD51" s="5"/>
      <c r="AE51" s="5"/>
      <c r="AF51" s="5"/>
      <c r="AG51" s="5"/>
      <c r="AH51" s="5"/>
      <c r="AI51" s="5"/>
      <c r="AJ51" s="5"/>
      <c r="AK51" s="5"/>
      <c r="AL51" s="5"/>
      <c r="AM51" s="5"/>
      <c r="AN51" s="5"/>
      <c r="AO51" s="5"/>
      <c r="AP51" s="5"/>
      <c r="AQ51" s="5"/>
      <c r="AR51" s="5"/>
      <c r="AS51" s="5"/>
      <c r="AT51" s="5"/>
    </row>
    <row r="52" spans="1:46" ht="12.75" customHeight="1" x14ac:dyDescent="0.2">
      <c r="A52" s="6"/>
      <c r="B52" s="1" t="s">
        <v>75</v>
      </c>
      <c r="C52" s="1"/>
      <c r="D52" s="2"/>
      <c r="E52" s="6" t="s">
        <v>46</v>
      </c>
      <c r="F52" s="3">
        <v>2.4</v>
      </c>
      <c r="G52" s="3">
        <v>56</v>
      </c>
      <c r="H52" s="3">
        <v>9.1999999999999993</v>
      </c>
      <c r="I52" s="3"/>
      <c r="J52" s="3">
        <v>143</v>
      </c>
      <c r="K52" s="3"/>
      <c r="L52" s="3"/>
      <c r="M52" s="3"/>
      <c r="N52" s="3"/>
      <c r="O52" s="4"/>
      <c r="P52" s="4"/>
      <c r="Q52" s="5"/>
      <c r="R52" s="5"/>
      <c r="S52" s="5"/>
      <c r="T52" s="5"/>
      <c r="U52" s="4"/>
      <c r="V52" s="5"/>
      <c r="W52" s="5"/>
      <c r="X52" s="5"/>
      <c r="Y52" s="5"/>
      <c r="Z52" s="5"/>
      <c r="AA52" s="5"/>
      <c r="AB52" s="5"/>
      <c r="AC52" s="5"/>
      <c r="AD52" s="5"/>
      <c r="AE52" s="5"/>
      <c r="AF52" s="5"/>
      <c r="AG52" s="5"/>
      <c r="AH52" s="5"/>
      <c r="AI52" s="5"/>
      <c r="AJ52" s="5"/>
      <c r="AK52" s="5"/>
      <c r="AL52" s="5"/>
      <c r="AM52" s="5"/>
      <c r="AN52" s="5"/>
      <c r="AO52" s="5"/>
      <c r="AP52" s="5"/>
      <c r="AQ52" s="5"/>
      <c r="AR52" s="5"/>
      <c r="AS52" s="5"/>
      <c r="AT52" s="5"/>
    </row>
    <row r="53" spans="1:46" ht="12.75" customHeight="1" x14ac:dyDescent="0.2">
      <c r="A53" s="6"/>
      <c r="B53" s="1" t="s">
        <v>76</v>
      </c>
      <c r="C53" s="1"/>
      <c r="D53" s="2"/>
      <c r="E53" s="6" t="s">
        <v>45</v>
      </c>
      <c r="F53" s="3">
        <f>(0.39+0.61)/2</f>
        <v>0.5</v>
      </c>
      <c r="G53" s="3">
        <f>(22+33)/2</f>
        <v>27.5</v>
      </c>
      <c r="H53" s="3">
        <f>(5+6.4)/2</f>
        <v>5.7</v>
      </c>
      <c r="I53" s="3"/>
      <c r="J53" s="3">
        <f>(13+22)/2</f>
        <v>17.5</v>
      </c>
      <c r="K53" s="3"/>
      <c r="L53" s="3"/>
      <c r="M53" s="3">
        <f>(76+80)/2</f>
        <v>78</v>
      </c>
      <c r="N53" s="3"/>
      <c r="O53" s="4"/>
      <c r="P53" s="4"/>
      <c r="Q53" s="5"/>
      <c r="R53" s="5"/>
      <c r="S53" s="5"/>
      <c r="T53" s="5"/>
      <c r="U53" s="4"/>
      <c r="V53" s="5"/>
      <c r="W53" s="5"/>
      <c r="X53" s="5"/>
      <c r="Y53" s="5"/>
      <c r="Z53" s="5"/>
      <c r="AA53" s="5"/>
      <c r="AB53" s="5"/>
      <c r="AC53" s="5"/>
      <c r="AD53" s="5"/>
      <c r="AE53" s="5"/>
      <c r="AF53" s="5"/>
      <c r="AG53" s="5"/>
      <c r="AH53" s="5"/>
      <c r="AI53" s="5"/>
      <c r="AJ53" s="5"/>
      <c r="AK53" s="5"/>
      <c r="AL53" s="5"/>
      <c r="AM53" s="5"/>
      <c r="AN53" s="5"/>
      <c r="AO53" s="5"/>
      <c r="AP53" s="5"/>
      <c r="AQ53" s="5"/>
      <c r="AR53" s="5"/>
      <c r="AS53" s="5"/>
      <c r="AT53" s="5"/>
    </row>
    <row r="54" spans="1:46" ht="12.75" customHeight="1" x14ac:dyDescent="0.2">
      <c r="A54" s="6"/>
      <c r="B54" s="1" t="s">
        <v>76</v>
      </c>
      <c r="C54" s="1"/>
      <c r="D54" s="2"/>
      <c r="E54" s="6" t="s">
        <v>46</v>
      </c>
      <c r="F54" s="3">
        <f>(0.38+0.54)/2</f>
        <v>0.46</v>
      </c>
      <c r="G54" s="3">
        <f>(24+33)/2</f>
        <v>28.5</v>
      </c>
      <c r="H54" s="3">
        <f>(4.7+6.5)/2</f>
        <v>5.6</v>
      </c>
      <c r="I54" s="3"/>
      <c r="J54" s="3">
        <f>(16+20)/2</f>
        <v>18</v>
      </c>
      <c r="K54" s="3"/>
      <c r="L54" s="3"/>
      <c r="M54" s="3"/>
      <c r="N54" s="3"/>
      <c r="O54" s="4"/>
      <c r="P54" s="4"/>
      <c r="Q54" s="5"/>
      <c r="R54" s="5"/>
      <c r="S54" s="5"/>
      <c r="T54" s="5"/>
      <c r="U54" s="4"/>
      <c r="V54" s="5"/>
      <c r="W54" s="5"/>
      <c r="X54" s="5"/>
      <c r="Y54" s="5"/>
      <c r="Z54" s="5"/>
      <c r="AA54" s="5"/>
      <c r="AB54" s="5"/>
      <c r="AC54" s="5"/>
      <c r="AD54" s="5"/>
      <c r="AE54" s="5"/>
      <c r="AF54" s="5"/>
      <c r="AG54" s="5"/>
      <c r="AH54" s="5"/>
      <c r="AI54" s="5"/>
      <c r="AJ54" s="5"/>
      <c r="AK54" s="5"/>
      <c r="AL54" s="5"/>
      <c r="AM54" s="5"/>
      <c r="AN54" s="5"/>
      <c r="AO54" s="5"/>
      <c r="AP54" s="5"/>
      <c r="AQ54" s="5"/>
      <c r="AR54" s="5"/>
      <c r="AS54" s="5"/>
      <c r="AT54" s="5"/>
    </row>
    <row r="55" spans="1:46" ht="12.75" customHeight="1" x14ac:dyDescent="0.2">
      <c r="A55" s="6"/>
      <c r="B55" s="1" t="s">
        <v>77</v>
      </c>
      <c r="C55" s="1"/>
      <c r="D55" s="2"/>
      <c r="E55" s="6" t="s">
        <v>45</v>
      </c>
      <c r="F55" s="3">
        <f>(0.57+0.91)/2</f>
        <v>0.74</v>
      </c>
      <c r="G55" s="3">
        <f>(19+32)/2</f>
        <v>25.5</v>
      </c>
      <c r="H55" s="3">
        <f>(3.3+6.4)/2</f>
        <v>4.8499999999999996</v>
      </c>
      <c r="I55" s="3"/>
      <c r="J55" s="3">
        <f>(13+18)/2</f>
        <v>15.5</v>
      </c>
      <c r="K55" s="3"/>
      <c r="L55" s="3"/>
      <c r="M55" s="3">
        <f>(76+80)/2</f>
        <v>78</v>
      </c>
      <c r="N55" s="3"/>
      <c r="O55" s="4"/>
      <c r="P55" s="4"/>
      <c r="Q55" s="5"/>
      <c r="R55" s="5"/>
      <c r="S55" s="5"/>
      <c r="T55" s="5"/>
      <c r="U55" s="4"/>
      <c r="V55" s="5"/>
      <c r="W55" s="5"/>
      <c r="X55" s="5"/>
      <c r="Y55" s="5"/>
      <c r="Z55" s="5"/>
      <c r="AA55" s="5"/>
      <c r="AB55" s="5"/>
      <c r="AC55" s="5"/>
      <c r="AD55" s="5"/>
      <c r="AE55" s="5"/>
      <c r="AF55" s="5"/>
      <c r="AG55" s="5"/>
      <c r="AH55" s="5"/>
      <c r="AI55" s="5"/>
      <c r="AJ55" s="5"/>
      <c r="AK55" s="5"/>
      <c r="AL55" s="5"/>
      <c r="AM55" s="5"/>
      <c r="AN55" s="5"/>
      <c r="AO55" s="5"/>
      <c r="AP55" s="5"/>
      <c r="AQ55" s="5"/>
      <c r="AR55" s="5"/>
      <c r="AS55" s="5"/>
      <c r="AT55" s="5"/>
    </row>
    <row r="56" spans="1:46" ht="12.75" customHeight="1" x14ac:dyDescent="0.2">
      <c r="A56" s="6"/>
      <c r="B56" s="1" t="s">
        <v>77</v>
      </c>
      <c r="C56" s="1"/>
      <c r="D56" s="2"/>
      <c r="E56" s="6" t="s">
        <v>46</v>
      </c>
      <c r="F56" s="3">
        <f>(0.64+0.74)/2</f>
        <v>0.69</v>
      </c>
      <c r="G56" s="3">
        <f>(26+33)/2</f>
        <v>29.5</v>
      </c>
      <c r="H56" s="3">
        <f>(4.5+6.2)/2</f>
        <v>5.35</v>
      </c>
      <c r="I56" s="3"/>
      <c r="J56" s="3">
        <f>(12+15)/2</f>
        <v>13.5</v>
      </c>
      <c r="K56" s="3"/>
      <c r="L56" s="3"/>
      <c r="M56" s="3"/>
      <c r="N56" s="3"/>
      <c r="O56" s="4"/>
      <c r="P56" s="4"/>
      <c r="Q56" s="5"/>
      <c r="R56" s="5"/>
      <c r="S56" s="5"/>
      <c r="T56" s="5"/>
      <c r="U56" s="4"/>
      <c r="V56" s="5"/>
      <c r="W56" s="5"/>
      <c r="X56" s="5"/>
      <c r="Y56" s="5"/>
      <c r="Z56" s="5"/>
      <c r="AA56" s="5"/>
      <c r="AB56" s="5"/>
      <c r="AC56" s="5"/>
      <c r="AD56" s="5"/>
      <c r="AE56" s="5"/>
      <c r="AF56" s="5"/>
      <c r="AG56" s="5"/>
      <c r="AH56" s="5"/>
      <c r="AI56" s="5"/>
      <c r="AJ56" s="5"/>
      <c r="AK56" s="5"/>
      <c r="AL56" s="5"/>
      <c r="AM56" s="5"/>
      <c r="AN56" s="5"/>
      <c r="AO56" s="5"/>
      <c r="AP56" s="5"/>
      <c r="AQ56" s="5"/>
      <c r="AR56" s="5"/>
      <c r="AS56" s="5"/>
      <c r="AT56" s="5"/>
    </row>
    <row r="57" spans="1:46" ht="12.75" customHeight="1" x14ac:dyDescent="0.2">
      <c r="A57" s="6"/>
      <c r="B57" s="1" t="s">
        <v>78</v>
      </c>
      <c r="C57" s="1"/>
      <c r="D57" s="2"/>
      <c r="E57" s="6" t="s">
        <v>45</v>
      </c>
      <c r="F57" s="3">
        <f>(0.45+0.66)/2</f>
        <v>0.55500000000000005</v>
      </c>
      <c r="G57" s="3">
        <f>(23+31)/2</f>
        <v>27</v>
      </c>
      <c r="H57" s="3">
        <f>(5.1+7.5)/2</f>
        <v>6.3</v>
      </c>
      <c r="I57" s="3"/>
      <c r="J57" s="3">
        <f>(14+19)/2</f>
        <v>16.5</v>
      </c>
      <c r="K57" s="3"/>
      <c r="L57" s="3"/>
      <c r="M57" s="3">
        <f>(84+87)/2</f>
        <v>85.5</v>
      </c>
      <c r="N57" s="3"/>
      <c r="O57" s="4"/>
      <c r="P57" s="4"/>
      <c r="Q57" s="5"/>
      <c r="R57" s="5"/>
      <c r="S57" s="5"/>
      <c r="T57" s="5"/>
      <c r="U57" s="4"/>
      <c r="V57" s="5"/>
      <c r="W57" s="5"/>
      <c r="X57" s="5"/>
      <c r="Y57" s="5"/>
      <c r="Z57" s="5"/>
      <c r="AA57" s="5"/>
      <c r="AB57" s="5"/>
      <c r="AC57" s="5"/>
      <c r="AD57" s="5"/>
      <c r="AE57" s="5"/>
      <c r="AF57" s="5"/>
      <c r="AG57" s="5"/>
      <c r="AH57" s="5"/>
      <c r="AI57" s="5"/>
      <c r="AJ57" s="5"/>
      <c r="AK57" s="5"/>
      <c r="AL57" s="5"/>
      <c r="AM57" s="5"/>
      <c r="AN57" s="5"/>
      <c r="AO57" s="5"/>
      <c r="AP57" s="5"/>
      <c r="AQ57" s="5"/>
      <c r="AR57" s="5"/>
      <c r="AS57" s="5"/>
      <c r="AT57" s="5"/>
    </row>
    <row r="58" spans="1:46" ht="12.75" customHeight="1" x14ac:dyDescent="0.2">
      <c r="A58" s="6"/>
      <c r="B58" s="1" t="s">
        <v>79</v>
      </c>
      <c r="C58" s="1"/>
      <c r="D58" s="2"/>
      <c r="E58" s="6" t="s">
        <v>45</v>
      </c>
      <c r="F58" s="3">
        <f>(0.65+0.7)/2</f>
        <v>0.67500000000000004</v>
      </c>
      <c r="G58" s="3">
        <f>(26+28)/2</f>
        <v>27</v>
      </c>
      <c r="H58" s="3">
        <f>(6.5+6.9)/2</f>
        <v>6.7</v>
      </c>
      <c r="I58" s="3"/>
      <c r="J58" s="3">
        <f>(8+10)/2</f>
        <v>9</v>
      </c>
      <c r="K58" s="3"/>
      <c r="L58" s="3"/>
      <c r="M58" s="3">
        <f>(54+59)/2</f>
        <v>56.5</v>
      </c>
      <c r="N58" s="3"/>
      <c r="O58" s="4"/>
      <c r="P58" s="4"/>
      <c r="Q58" s="5"/>
      <c r="R58" s="5"/>
      <c r="S58" s="5"/>
      <c r="T58" s="5"/>
      <c r="U58" s="4"/>
      <c r="V58" s="5"/>
      <c r="W58" s="5"/>
      <c r="X58" s="5"/>
      <c r="Y58" s="5"/>
      <c r="Z58" s="5"/>
      <c r="AA58" s="5"/>
      <c r="AB58" s="5"/>
      <c r="AC58" s="5"/>
      <c r="AD58" s="5"/>
      <c r="AE58" s="5"/>
      <c r="AF58" s="5"/>
      <c r="AG58" s="5"/>
      <c r="AH58" s="5"/>
      <c r="AI58" s="5"/>
      <c r="AJ58" s="5"/>
      <c r="AK58" s="5"/>
      <c r="AL58" s="5"/>
      <c r="AM58" s="5"/>
      <c r="AN58" s="5"/>
      <c r="AO58" s="5"/>
      <c r="AP58" s="5"/>
      <c r="AQ58" s="5"/>
      <c r="AR58" s="5"/>
      <c r="AS58" s="5"/>
      <c r="AT58" s="5"/>
    </row>
    <row r="59" spans="1:46" ht="12.75" customHeight="1" x14ac:dyDescent="0.2">
      <c r="A59" s="6"/>
      <c r="B59" s="1" t="s">
        <v>79</v>
      </c>
      <c r="C59" s="1"/>
      <c r="D59" s="2"/>
      <c r="E59" s="6" t="s">
        <v>46</v>
      </c>
      <c r="F59" s="3">
        <f>(0.5+0.65)/2</f>
        <v>0.57499999999999996</v>
      </c>
      <c r="G59" s="3">
        <f>(29+30)/2</f>
        <v>29.5</v>
      </c>
      <c r="H59" s="3">
        <f>(6.7+6.9)/2</f>
        <v>6.8000000000000007</v>
      </c>
      <c r="I59" s="3"/>
      <c r="J59" s="3">
        <f>(8+9)/2</f>
        <v>8.5</v>
      </c>
      <c r="K59" s="3"/>
      <c r="L59" s="3"/>
      <c r="M59" s="3"/>
      <c r="N59" s="3"/>
      <c r="O59" s="4"/>
      <c r="P59" s="4"/>
      <c r="Q59" s="5"/>
      <c r="R59" s="5"/>
      <c r="S59" s="5"/>
      <c r="T59" s="5"/>
      <c r="U59" s="4"/>
      <c r="V59" s="5"/>
      <c r="W59" s="5"/>
      <c r="X59" s="5"/>
      <c r="Y59" s="5"/>
      <c r="Z59" s="5"/>
      <c r="AA59" s="5"/>
      <c r="AB59" s="5"/>
      <c r="AC59" s="5"/>
      <c r="AD59" s="5"/>
      <c r="AE59" s="5"/>
      <c r="AF59" s="5"/>
      <c r="AG59" s="5"/>
      <c r="AH59" s="5"/>
      <c r="AI59" s="5"/>
      <c r="AJ59" s="5"/>
      <c r="AK59" s="5"/>
      <c r="AL59" s="5"/>
      <c r="AM59" s="5"/>
      <c r="AN59" s="5"/>
      <c r="AO59" s="5"/>
      <c r="AP59" s="5"/>
      <c r="AQ59" s="5"/>
      <c r="AR59" s="5"/>
      <c r="AS59" s="5"/>
      <c r="AT59" s="5"/>
    </row>
    <row r="60" spans="1:46" ht="12.75" customHeight="1" x14ac:dyDescent="0.2">
      <c r="A60" s="6"/>
      <c r="B60" s="1" t="s">
        <v>80</v>
      </c>
      <c r="C60" s="1" t="s">
        <v>81</v>
      </c>
      <c r="D60" s="2"/>
      <c r="E60" s="6" t="s">
        <v>45</v>
      </c>
      <c r="F60" s="3">
        <f>(2.2+3.31)/2</f>
        <v>2.7549999999999999</v>
      </c>
      <c r="G60" s="3">
        <f>(40+49)/2</f>
        <v>44.5</v>
      </c>
      <c r="H60" s="3">
        <v>5.5</v>
      </c>
      <c r="I60" s="3"/>
      <c r="J60" s="3">
        <f>(16+26)/2</f>
        <v>21</v>
      </c>
      <c r="K60" s="3"/>
      <c r="L60" s="3"/>
      <c r="M60" s="3">
        <f>(52+55)/2</f>
        <v>53.5</v>
      </c>
      <c r="N60" s="3"/>
      <c r="O60" s="4"/>
      <c r="P60" s="4"/>
      <c r="Q60" s="5"/>
      <c r="R60" s="5"/>
      <c r="S60" s="5"/>
      <c r="T60" s="5"/>
      <c r="U60" s="4"/>
      <c r="V60" s="5"/>
      <c r="W60" s="5"/>
      <c r="X60" s="5"/>
      <c r="Y60" s="5"/>
      <c r="Z60" s="5"/>
      <c r="AA60" s="5"/>
      <c r="AB60" s="5"/>
      <c r="AC60" s="5"/>
      <c r="AD60" s="5"/>
      <c r="AE60" s="5"/>
      <c r="AF60" s="5"/>
      <c r="AG60" s="5"/>
      <c r="AH60" s="5"/>
      <c r="AI60" s="5"/>
      <c r="AJ60" s="5"/>
      <c r="AK60" s="5"/>
      <c r="AL60" s="5"/>
      <c r="AM60" s="5"/>
      <c r="AN60" s="5"/>
      <c r="AO60" s="5"/>
      <c r="AP60" s="5"/>
      <c r="AQ60" s="5"/>
      <c r="AR60" s="5"/>
      <c r="AS60" s="5"/>
      <c r="AT60" s="5"/>
    </row>
    <row r="61" spans="1:46" ht="12.75" customHeight="1" x14ac:dyDescent="0.2">
      <c r="A61" s="6"/>
      <c r="B61" s="1" t="s">
        <v>80</v>
      </c>
      <c r="C61" s="1" t="s">
        <v>81</v>
      </c>
      <c r="D61" s="2"/>
      <c r="E61" s="6" t="s">
        <v>46</v>
      </c>
      <c r="F61" s="3">
        <f>(2.1+2.4)/2</f>
        <v>2.25</v>
      </c>
      <c r="G61" s="3">
        <f>(44+47)/2</f>
        <v>45.5</v>
      </c>
      <c r="H61" s="3">
        <v>4.3</v>
      </c>
      <c r="I61" s="3"/>
      <c r="J61" s="3">
        <f>(18+20)/2</f>
        <v>19</v>
      </c>
      <c r="K61" s="3"/>
      <c r="L61" s="3"/>
      <c r="M61" s="3"/>
      <c r="N61" s="3"/>
      <c r="O61" s="4"/>
      <c r="P61" s="4"/>
      <c r="Q61" s="5"/>
      <c r="R61" s="5"/>
      <c r="S61" s="5"/>
      <c r="T61" s="5"/>
      <c r="U61" s="4"/>
      <c r="V61" s="5"/>
      <c r="W61" s="5"/>
      <c r="X61" s="5"/>
      <c r="Y61" s="5"/>
      <c r="Z61" s="5"/>
      <c r="AA61" s="5"/>
      <c r="AB61" s="5"/>
      <c r="AC61" s="5"/>
      <c r="AD61" s="5"/>
      <c r="AE61" s="5"/>
      <c r="AF61" s="5"/>
      <c r="AG61" s="5"/>
      <c r="AH61" s="5"/>
      <c r="AI61" s="5"/>
      <c r="AJ61" s="5"/>
      <c r="AK61" s="5"/>
      <c r="AL61" s="5"/>
      <c r="AM61" s="5"/>
      <c r="AN61" s="5"/>
      <c r="AO61" s="5"/>
      <c r="AP61" s="5"/>
      <c r="AQ61" s="5"/>
      <c r="AR61" s="5"/>
      <c r="AS61" s="5"/>
      <c r="AT61" s="5"/>
    </row>
    <row r="62" spans="1:46" ht="12.75" customHeight="1" x14ac:dyDescent="0.2">
      <c r="A62" s="6"/>
      <c r="B62" s="1" t="s">
        <v>82</v>
      </c>
      <c r="C62" s="1"/>
      <c r="D62" s="2"/>
      <c r="E62" s="6" t="s">
        <v>45</v>
      </c>
      <c r="F62" s="3">
        <f>(1.2+1.6)/2</f>
        <v>1.4</v>
      </c>
      <c r="G62" s="3"/>
      <c r="H62" s="3"/>
      <c r="I62" s="3"/>
      <c r="J62" s="3"/>
      <c r="K62" s="3"/>
      <c r="L62" s="3"/>
      <c r="M62" s="3"/>
      <c r="N62" s="3"/>
      <c r="O62" s="4"/>
      <c r="P62" s="4"/>
      <c r="Q62" s="5"/>
      <c r="R62" s="5"/>
      <c r="S62" s="5"/>
      <c r="T62" s="5"/>
      <c r="U62" s="4"/>
      <c r="V62" s="5"/>
      <c r="W62" s="5"/>
      <c r="X62" s="5"/>
      <c r="Y62" s="5"/>
      <c r="Z62" s="5"/>
      <c r="AA62" s="5"/>
      <c r="AB62" s="5"/>
      <c r="AC62" s="5"/>
      <c r="AD62" s="5"/>
      <c r="AE62" s="5"/>
      <c r="AF62" s="5"/>
      <c r="AG62" s="5"/>
      <c r="AH62" s="5"/>
      <c r="AI62" s="5"/>
      <c r="AJ62" s="5"/>
      <c r="AK62" s="5"/>
      <c r="AL62" s="5"/>
      <c r="AM62" s="5"/>
      <c r="AN62" s="5"/>
      <c r="AO62" s="5"/>
      <c r="AP62" s="5"/>
      <c r="AQ62" s="5"/>
      <c r="AR62" s="5"/>
      <c r="AS62" s="5"/>
      <c r="AT62" s="5"/>
    </row>
    <row r="63" spans="1:46" ht="12.75" customHeight="1" x14ac:dyDescent="0.2">
      <c r="A63" s="6"/>
      <c r="B63" s="1" t="s">
        <v>82</v>
      </c>
      <c r="C63" s="1"/>
      <c r="D63" s="2"/>
      <c r="E63" s="6" t="s">
        <v>46</v>
      </c>
      <c r="F63" s="3">
        <v>0.8</v>
      </c>
      <c r="G63" s="3">
        <v>28</v>
      </c>
      <c r="H63" s="3">
        <v>5.4</v>
      </c>
      <c r="I63" s="3"/>
      <c r="J63" s="3">
        <v>30</v>
      </c>
      <c r="K63" s="3"/>
      <c r="L63" s="3"/>
      <c r="M63" s="3"/>
      <c r="N63" s="3"/>
      <c r="O63" s="4"/>
      <c r="P63" s="4"/>
      <c r="Q63" s="5"/>
      <c r="R63" s="5"/>
      <c r="S63" s="5"/>
      <c r="T63" s="5"/>
      <c r="U63" s="4"/>
      <c r="V63" s="5"/>
      <c r="W63" s="5"/>
      <c r="X63" s="5"/>
      <c r="Y63" s="5"/>
      <c r="Z63" s="5"/>
      <c r="AA63" s="5"/>
      <c r="AB63" s="5"/>
      <c r="AC63" s="5"/>
      <c r="AD63" s="5"/>
      <c r="AE63" s="5"/>
      <c r="AF63" s="5"/>
      <c r="AG63" s="5"/>
      <c r="AH63" s="5"/>
      <c r="AI63" s="5"/>
      <c r="AJ63" s="5"/>
      <c r="AK63" s="5"/>
      <c r="AL63" s="5"/>
      <c r="AM63" s="5"/>
      <c r="AN63" s="5"/>
      <c r="AO63" s="5"/>
      <c r="AP63" s="5"/>
      <c r="AQ63" s="5"/>
      <c r="AR63" s="5"/>
      <c r="AS63" s="5"/>
      <c r="AT63" s="5"/>
    </row>
    <row r="64" spans="1:46" ht="12.75" customHeight="1" x14ac:dyDescent="0.2">
      <c r="A64" s="6"/>
      <c r="B64" s="1" t="s">
        <v>83</v>
      </c>
      <c r="C64" s="1"/>
      <c r="D64" s="2"/>
      <c r="E64" s="6" t="s">
        <v>45</v>
      </c>
      <c r="F64" s="3">
        <v>0.38</v>
      </c>
      <c r="G64" s="3">
        <v>19</v>
      </c>
      <c r="H64" s="3">
        <v>3.1</v>
      </c>
      <c r="I64" s="3"/>
      <c r="J64" s="3">
        <f>(13+18)/2</f>
        <v>15.5</v>
      </c>
      <c r="K64" s="3"/>
      <c r="L64" s="3"/>
      <c r="M64" s="3">
        <v>72</v>
      </c>
      <c r="N64" s="3"/>
      <c r="O64" s="4"/>
      <c r="P64" s="4"/>
      <c r="Q64" s="5"/>
      <c r="R64" s="5"/>
      <c r="S64" s="5"/>
      <c r="T64" s="5"/>
      <c r="U64" s="4"/>
      <c r="V64" s="5"/>
      <c r="W64" s="5"/>
      <c r="X64" s="5"/>
      <c r="Y64" s="5"/>
      <c r="Z64" s="5"/>
      <c r="AA64" s="5"/>
      <c r="AB64" s="5"/>
      <c r="AC64" s="5"/>
      <c r="AD64" s="5"/>
      <c r="AE64" s="5"/>
      <c r="AF64" s="5"/>
      <c r="AG64" s="5"/>
      <c r="AH64" s="5"/>
      <c r="AI64" s="5"/>
      <c r="AJ64" s="5"/>
      <c r="AK64" s="5"/>
      <c r="AL64" s="5"/>
      <c r="AM64" s="5"/>
      <c r="AN64" s="5"/>
      <c r="AO64" s="5"/>
      <c r="AP64" s="5"/>
      <c r="AQ64" s="5"/>
      <c r="AR64" s="5"/>
      <c r="AS64" s="5"/>
      <c r="AT64" s="5"/>
    </row>
    <row r="65" spans="1:46" ht="12.75" customHeight="1" x14ac:dyDescent="0.2">
      <c r="A65" s="6"/>
      <c r="B65" s="1" t="s">
        <v>83</v>
      </c>
      <c r="C65" s="1"/>
      <c r="D65" s="2"/>
      <c r="E65" s="6" t="s">
        <v>46</v>
      </c>
      <c r="F65" s="3">
        <v>0.4</v>
      </c>
      <c r="G65" s="3">
        <v>24</v>
      </c>
      <c r="H65" s="3">
        <v>4.2</v>
      </c>
      <c r="I65" s="3"/>
      <c r="J65" s="3">
        <v>11.8</v>
      </c>
      <c r="K65" s="3"/>
      <c r="L65" s="3"/>
      <c r="M65" s="3"/>
      <c r="N65" s="3"/>
      <c r="O65" s="4"/>
      <c r="P65" s="4"/>
      <c r="Q65" s="5"/>
      <c r="R65" s="5"/>
      <c r="S65" s="5"/>
      <c r="T65" s="5"/>
      <c r="U65" s="4"/>
      <c r="V65" s="5"/>
      <c r="W65" s="5"/>
      <c r="X65" s="5"/>
      <c r="Y65" s="5"/>
      <c r="Z65" s="5"/>
      <c r="AA65" s="5"/>
      <c r="AB65" s="5"/>
      <c r="AC65" s="5"/>
      <c r="AD65" s="5"/>
      <c r="AE65" s="5"/>
      <c r="AF65" s="5"/>
      <c r="AG65" s="5"/>
      <c r="AH65" s="5"/>
      <c r="AI65" s="5"/>
      <c r="AJ65" s="5"/>
      <c r="AK65" s="5"/>
      <c r="AL65" s="5"/>
      <c r="AM65" s="5"/>
      <c r="AN65" s="5"/>
      <c r="AO65" s="5"/>
      <c r="AP65" s="5"/>
      <c r="AQ65" s="5"/>
      <c r="AR65" s="5"/>
      <c r="AS65" s="5"/>
      <c r="AT65" s="5"/>
    </row>
    <row r="66" spans="1:46" ht="12.75" customHeight="1" x14ac:dyDescent="0.2">
      <c r="A66" s="6"/>
      <c r="B66" s="6" t="s">
        <v>84</v>
      </c>
      <c r="C66" s="1"/>
      <c r="D66" s="2"/>
      <c r="E66" s="6" t="s">
        <v>45</v>
      </c>
      <c r="F66" s="3">
        <f>(0.36+0.5)/2</f>
        <v>0.43</v>
      </c>
      <c r="G66" s="3"/>
      <c r="H66" s="3"/>
      <c r="I66" s="3"/>
      <c r="J66" s="3"/>
      <c r="K66" s="3"/>
      <c r="L66" s="3"/>
      <c r="M66" s="3">
        <v>90</v>
      </c>
      <c r="N66" s="3"/>
      <c r="O66" s="4"/>
      <c r="P66" s="4"/>
      <c r="Q66" s="5"/>
      <c r="R66" s="5"/>
      <c r="S66" s="5"/>
      <c r="T66" s="5"/>
      <c r="U66" s="4"/>
      <c r="V66" s="5"/>
      <c r="W66" s="5"/>
      <c r="X66" s="5"/>
      <c r="Y66" s="5"/>
      <c r="Z66" s="5"/>
      <c r="AA66" s="5"/>
      <c r="AB66" s="5"/>
      <c r="AC66" s="5"/>
      <c r="AD66" s="5"/>
      <c r="AE66" s="5"/>
      <c r="AF66" s="5"/>
      <c r="AG66" s="5"/>
      <c r="AH66" s="5"/>
      <c r="AI66" s="5"/>
      <c r="AJ66" s="5"/>
      <c r="AK66" s="5"/>
      <c r="AL66" s="5"/>
      <c r="AM66" s="5"/>
      <c r="AN66" s="5"/>
      <c r="AO66" s="5"/>
      <c r="AP66" s="5"/>
      <c r="AQ66" s="5"/>
      <c r="AR66" s="5"/>
      <c r="AS66" s="5"/>
      <c r="AT66" s="5"/>
    </row>
    <row r="67" spans="1:46" ht="12.75" customHeight="1" x14ac:dyDescent="0.2">
      <c r="A67" s="6"/>
      <c r="B67" s="6" t="s">
        <v>84</v>
      </c>
      <c r="C67" s="1"/>
      <c r="D67" s="2"/>
      <c r="E67" s="6" t="s">
        <v>46</v>
      </c>
      <c r="F67" s="3">
        <v>0.4</v>
      </c>
      <c r="G67" s="3">
        <v>34</v>
      </c>
      <c r="H67" s="3">
        <v>3.5</v>
      </c>
      <c r="I67" s="3"/>
      <c r="J67" s="3">
        <v>7.7</v>
      </c>
      <c r="K67" s="3"/>
      <c r="L67" s="3"/>
      <c r="M67" s="3"/>
      <c r="N67" s="3"/>
      <c r="O67" s="1"/>
      <c r="P67" s="1"/>
      <c r="Q67" s="5"/>
      <c r="R67" s="5"/>
      <c r="S67" s="5"/>
      <c r="T67" s="5"/>
      <c r="U67" s="4"/>
      <c r="V67" s="5"/>
      <c r="W67" s="5"/>
      <c r="X67" s="5"/>
      <c r="Y67" s="5"/>
      <c r="Z67" s="5"/>
      <c r="AA67" s="5"/>
      <c r="AB67" s="5"/>
      <c r="AC67" s="5"/>
      <c r="AD67" s="5"/>
      <c r="AE67" s="5"/>
      <c r="AF67" s="5"/>
      <c r="AG67" s="5"/>
      <c r="AH67" s="5"/>
      <c r="AI67" s="5"/>
      <c r="AJ67" s="5"/>
      <c r="AK67" s="5"/>
      <c r="AL67" s="5"/>
      <c r="AM67" s="5"/>
      <c r="AN67" s="5"/>
      <c r="AO67" s="5"/>
      <c r="AP67" s="5"/>
      <c r="AQ67" s="5"/>
      <c r="AR67" s="5"/>
      <c r="AS67" s="5"/>
      <c r="AT67" s="5"/>
    </row>
    <row r="68" spans="1:46" ht="12.75" customHeight="1" x14ac:dyDescent="0.2">
      <c r="A68" s="6"/>
      <c r="B68" s="6" t="s">
        <v>85</v>
      </c>
      <c r="C68" s="1"/>
      <c r="D68" s="2"/>
      <c r="E68" s="6" t="s">
        <v>45</v>
      </c>
      <c r="F68" s="3">
        <v>0.44</v>
      </c>
      <c r="G68" s="3">
        <v>5.3</v>
      </c>
      <c r="H68" s="3">
        <v>2.4</v>
      </c>
      <c r="I68" s="3"/>
      <c r="J68" s="3">
        <v>19</v>
      </c>
      <c r="K68" s="3"/>
      <c r="L68" s="3"/>
      <c r="M68" s="3">
        <v>80</v>
      </c>
      <c r="N68" s="3"/>
      <c r="O68" s="4"/>
      <c r="P68" s="4"/>
      <c r="Q68" s="5"/>
      <c r="R68" s="5"/>
      <c r="S68" s="5"/>
      <c r="T68" s="5"/>
      <c r="U68" s="4"/>
      <c r="V68" s="5"/>
      <c r="W68" s="5"/>
      <c r="X68" s="5"/>
      <c r="Y68" s="5"/>
      <c r="Z68" s="5"/>
      <c r="AA68" s="5"/>
      <c r="AB68" s="5"/>
      <c r="AC68" s="5"/>
      <c r="AD68" s="5"/>
      <c r="AE68" s="5"/>
      <c r="AF68" s="5"/>
      <c r="AG68" s="5"/>
      <c r="AH68" s="5"/>
      <c r="AI68" s="5"/>
      <c r="AJ68" s="5"/>
      <c r="AK68" s="5"/>
      <c r="AL68" s="5"/>
      <c r="AM68" s="5"/>
      <c r="AN68" s="5"/>
      <c r="AO68" s="5"/>
      <c r="AP68" s="5"/>
      <c r="AQ68" s="5"/>
      <c r="AR68" s="5"/>
      <c r="AS68" s="5"/>
      <c r="AT68" s="5"/>
    </row>
    <row r="69" spans="1:46" ht="12.75" customHeight="1" x14ac:dyDescent="0.2">
      <c r="A69" s="6"/>
      <c r="B69" s="6" t="s">
        <v>85</v>
      </c>
      <c r="C69" s="1"/>
      <c r="D69" s="2"/>
      <c r="E69" s="6" t="s">
        <v>46</v>
      </c>
      <c r="F69" s="3">
        <f>(0.41+0.58)/2</f>
        <v>0.495</v>
      </c>
      <c r="G69" s="3">
        <f>(32+41)/2</f>
        <v>36.5</v>
      </c>
      <c r="H69" s="3"/>
      <c r="I69" s="3"/>
      <c r="J69" s="3">
        <f>(8+10)/2</f>
        <v>9</v>
      </c>
      <c r="K69" s="3"/>
      <c r="L69" s="3"/>
      <c r="M69" s="3"/>
      <c r="N69" s="3"/>
      <c r="O69" s="4"/>
      <c r="P69" s="4"/>
      <c r="Q69" s="5"/>
      <c r="R69" s="5"/>
      <c r="S69" s="5"/>
      <c r="T69" s="5"/>
      <c r="U69" s="4"/>
      <c r="V69" s="5"/>
      <c r="W69" s="5"/>
      <c r="X69" s="5"/>
      <c r="Y69" s="5"/>
      <c r="Z69" s="5"/>
      <c r="AA69" s="5"/>
      <c r="AB69" s="5"/>
      <c r="AC69" s="5"/>
      <c r="AD69" s="5"/>
      <c r="AE69" s="5"/>
      <c r="AF69" s="5"/>
      <c r="AG69" s="5"/>
      <c r="AH69" s="5"/>
      <c r="AI69" s="5"/>
      <c r="AJ69" s="5"/>
      <c r="AK69" s="5"/>
      <c r="AL69" s="5"/>
      <c r="AM69" s="5"/>
      <c r="AN69" s="5"/>
      <c r="AO69" s="5"/>
      <c r="AP69" s="5"/>
      <c r="AQ69" s="5"/>
      <c r="AR69" s="5"/>
      <c r="AS69" s="5"/>
      <c r="AT69" s="5"/>
    </row>
    <row r="70" spans="1:46" ht="12.75" customHeight="1" x14ac:dyDescent="0.2">
      <c r="A70" s="6"/>
      <c r="B70" s="6" t="s">
        <v>86</v>
      </c>
      <c r="C70" s="1"/>
      <c r="D70" s="2"/>
      <c r="E70" s="6" t="s">
        <v>45</v>
      </c>
      <c r="F70" s="3">
        <f>(0.13+0.21)/2</f>
        <v>0.16999999999999998</v>
      </c>
      <c r="G70" s="3">
        <v>1.45</v>
      </c>
      <c r="H70" s="3"/>
      <c r="I70" s="3"/>
      <c r="J70" s="3"/>
      <c r="K70" s="3"/>
      <c r="L70" s="3"/>
      <c r="M70" s="3"/>
      <c r="N70" s="3"/>
      <c r="O70" s="4"/>
      <c r="P70" s="4"/>
      <c r="Q70" s="5"/>
      <c r="R70" s="5"/>
      <c r="S70" s="5"/>
      <c r="T70" s="5"/>
      <c r="U70" s="4"/>
      <c r="V70" s="5"/>
      <c r="W70" s="5"/>
      <c r="X70" s="5"/>
      <c r="Y70" s="5"/>
      <c r="Z70" s="5"/>
      <c r="AA70" s="5"/>
      <c r="AB70" s="5"/>
      <c r="AC70" s="5"/>
      <c r="AD70" s="5"/>
      <c r="AE70" s="5"/>
      <c r="AF70" s="5"/>
      <c r="AG70" s="5"/>
      <c r="AH70" s="5"/>
      <c r="AI70" s="5"/>
      <c r="AJ70" s="5"/>
      <c r="AK70" s="5"/>
      <c r="AL70" s="5"/>
      <c r="AM70" s="5"/>
      <c r="AN70" s="5"/>
      <c r="AO70" s="5"/>
      <c r="AP70" s="5"/>
      <c r="AQ70" s="5"/>
      <c r="AR70" s="5"/>
      <c r="AS70" s="5"/>
      <c r="AT70" s="5"/>
    </row>
    <row r="71" spans="1:46" ht="12.75" customHeight="1" x14ac:dyDescent="0.2">
      <c r="A71" s="6"/>
      <c r="B71" s="6" t="s">
        <v>86</v>
      </c>
      <c r="C71" s="1"/>
      <c r="D71" s="2"/>
      <c r="E71" s="6" t="s">
        <v>46</v>
      </c>
      <c r="F71" s="3">
        <f>(0.4+0.47)/2</f>
        <v>0.435</v>
      </c>
      <c r="G71" s="3">
        <f>(33+45)/2</f>
        <v>39</v>
      </c>
      <c r="H71" s="3"/>
      <c r="I71" s="3"/>
      <c r="J71" s="3">
        <f>(12+15)/2</f>
        <v>13.5</v>
      </c>
      <c r="K71" s="3"/>
      <c r="L71" s="3"/>
      <c r="M71" s="3"/>
      <c r="N71" s="3"/>
      <c r="O71" s="4"/>
      <c r="P71" s="4"/>
      <c r="Q71" s="5"/>
      <c r="R71" s="5"/>
      <c r="S71" s="5"/>
      <c r="T71" s="5"/>
      <c r="U71" s="4"/>
      <c r="V71" s="5"/>
      <c r="W71" s="5"/>
      <c r="X71" s="5"/>
      <c r="Y71" s="5"/>
      <c r="Z71" s="5"/>
      <c r="AA71" s="5"/>
      <c r="AB71" s="5"/>
      <c r="AC71" s="5"/>
      <c r="AD71" s="5"/>
      <c r="AE71" s="5"/>
      <c r="AF71" s="5"/>
      <c r="AG71" s="5"/>
      <c r="AH71" s="5"/>
      <c r="AI71" s="5"/>
      <c r="AJ71" s="5"/>
      <c r="AK71" s="5"/>
      <c r="AL71" s="5"/>
      <c r="AM71" s="5"/>
      <c r="AN71" s="5"/>
      <c r="AO71" s="5"/>
      <c r="AP71" s="5"/>
      <c r="AQ71" s="5"/>
      <c r="AR71" s="5"/>
      <c r="AS71" s="5"/>
      <c r="AT71" s="5"/>
    </row>
    <row r="72" spans="1:46" ht="12.75" customHeight="1" x14ac:dyDescent="0.2">
      <c r="A72" s="6"/>
      <c r="B72" s="6" t="s">
        <v>87</v>
      </c>
      <c r="C72" s="1" t="s">
        <v>88</v>
      </c>
      <c r="D72" s="2"/>
      <c r="E72" s="6" t="s">
        <v>45</v>
      </c>
      <c r="F72" s="3">
        <f>(0.48+0.58)/2</f>
        <v>0.53</v>
      </c>
      <c r="G72" s="3">
        <f>(10+16)/2</f>
        <v>13</v>
      </c>
      <c r="H72" s="3">
        <f>(3.3+4.5)/2</f>
        <v>3.9</v>
      </c>
      <c r="I72" s="3"/>
      <c r="J72" s="3">
        <f>(12+18)/2</f>
        <v>15</v>
      </c>
      <c r="K72" s="3"/>
      <c r="L72" s="3"/>
      <c r="M72" s="3">
        <f>(74+80)/2</f>
        <v>77</v>
      </c>
      <c r="N72" s="3"/>
      <c r="O72" s="4"/>
      <c r="P72" s="4"/>
      <c r="Q72" s="5"/>
      <c r="R72" s="5"/>
      <c r="S72" s="5"/>
      <c r="T72" s="5"/>
      <c r="U72" s="4"/>
      <c r="V72" s="5"/>
      <c r="W72" s="5"/>
      <c r="X72" s="5"/>
      <c r="Y72" s="5"/>
      <c r="Z72" s="5"/>
      <c r="AA72" s="5"/>
      <c r="AB72" s="5"/>
      <c r="AC72" s="5"/>
      <c r="AD72" s="5"/>
      <c r="AE72" s="5"/>
      <c r="AF72" s="5"/>
      <c r="AG72" s="5"/>
      <c r="AH72" s="5"/>
      <c r="AI72" s="5"/>
      <c r="AJ72" s="5"/>
      <c r="AK72" s="5"/>
      <c r="AL72" s="5"/>
      <c r="AM72" s="5"/>
      <c r="AN72" s="5"/>
      <c r="AO72" s="5"/>
      <c r="AP72" s="5"/>
      <c r="AQ72" s="5"/>
      <c r="AR72" s="5"/>
      <c r="AS72" s="5"/>
      <c r="AT72" s="5"/>
    </row>
    <row r="73" spans="1:46" ht="12.75" customHeight="1" x14ac:dyDescent="0.2">
      <c r="A73" s="6"/>
      <c r="B73" s="6" t="s">
        <v>87</v>
      </c>
      <c r="C73" s="1" t="s">
        <v>88</v>
      </c>
      <c r="D73" s="2"/>
      <c r="E73" s="6" t="s">
        <v>46</v>
      </c>
      <c r="F73" s="3">
        <f>(0.43+0.57)/2</f>
        <v>0.5</v>
      </c>
      <c r="G73" s="3">
        <f>(30+44)/2</f>
        <v>37</v>
      </c>
      <c r="H73" s="3"/>
      <c r="I73" s="3"/>
      <c r="J73" s="3">
        <f>(8+10)/2</f>
        <v>9</v>
      </c>
      <c r="K73" s="3"/>
      <c r="L73" s="3"/>
      <c r="M73" s="3"/>
      <c r="N73" s="3"/>
      <c r="O73" s="4"/>
      <c r="P73" s="4"/>
      <c r="Q73" s="5"/>
      <c r="R73" s="5"/>
      <c r="S73" s="5"/>
      <c r="T73" s="5"/>
      <c r="U73" s="4"/>
      <c r="V73" s="5"/>
      <c r="W73" s="5"/>
      <c r="X73" s="5"/>
      <c r="Y73" s="5"/>
      <c r="Z73" s="5"/>
      <c r="AA73" s="5"/>
      <c r="AB73" s="5"/>
      <c r="AC73" s="5"/>
      <c r="AD73" s="5"/>
      <c r="AE73" s="5"/>
      <c r="AF73" s="5"/>
      <c r="AG73" s="5"/>
      <c r="AH73" s="5"/>
      <c r="AI73" s="5"/>
      <c r="AJ73" s="5"/>
      <c r="AK73" s="5"/>
      <c r="AL73" s="5"/>
      <c r="AM73" s="5"/>
      <c r="AN73" s="5"/>
      <c r="AO73" s="5"/>
      <c r="AP73" s="5"/>
      <c r="AQ73" s="5"/>
      <c r="AR73" s="5"/>
      <c r="AS73" s="5"/>
      <c r="AT73" s="5"/>
    </row>
    <row r="74" spans="1:46" ht="12.75" customHeight="1" x14ac:dyDescent="0.2">
      <c r="A74" s="6"/>
      <c r="B74" s="1" t="s">
        <v>89</v>
      </c>
      <c r="C74" s="1"/>
      <c r="D74" s="2"/>
      <c r="E74" s="6" t="s">
        <v>45</v>
      </c>
      <c r="F74" s="3">
        <f>(0.74+0.89)/2</f>
        <v>0.81499999999999995</v>
      </c>
      <c r="G74" s="3">
        <f>(23+25)/2</f>
        <v>24</v>
      </c>
      <c r="H74" s="3">
        <f>(5+5.9)/2</f>
        <v>5.45</v>
      </c>
      <c r="I74" s="3"/>
      <c r="J74" s="3">
        <f>(6.7+9.4)/2</f>
        <v>8.0500000000000007</v>
      </c>
      <c r="K74" s="3"/>
      <c r="L74" s="3"/>
      <c r="M74" s="3">
        <f>(80.7+84.1)/2</f>
        <v>82.4</v>
      </c>
      <c r="N74" s="3"/>
      <c r="O74" s="4"/>
      <c r="P74" s="4"/>
      <c r="Q74" s="5"/>
      <c r="R74" s="5"/>
      <c r="S74" s="5"/>
      <c r="T74" s="5"/>
      <c r="U74" s="4"/>
      <c r="V74" s="5"/>
      <c r="W74" s="5"/>
      <c r="X74" s="5"/>
      <c r="Y74" s="5"/>
      <c r="Z74" s="5"/>
      <c r="AA74" s="5"/>
      <c r="AB74" s="5"/>
      <c r="AC74" s="5"/>
      <c r="AD74" s="5"/>
      <c r="AE74" s="5"/>
      <c r="AF74" s="5"/>
      <c r="AG74" s="5"/>
      <c r="AH74" s="5"/>
      <c r="AI74" s="5"/>
      <c r="AJ74" s="5"/>
      <c r="AK74" s="5"/>
      <c r="AL74" s="5"/>
      <c r="AM74" s="5"/>
      <c r="AN74" s="5"/>
      <c r="AO74" s="5"/>
      <c r="AP74" s="5"/>
      <c r="AQ74" s="5"/>
      <c r="AR74" s="5"/>
      <c r="AS74" s="5"/>
      <c r="AT74" s="5"/>
    </row>
    <row r="75" spans="1:46" ht="12.75" customHeight="1" x14ac:dyDescent="0.2">
      <c r="A75" s="6"/>
      <c r="B75" s="1" t="s">
        <v>89</v>
      </c>
      <c r="C75" s="1"/>
      <c r="D75" s="2"/>
      <c r="E75" s="6" t="s">
        <v>46</v>
      </c>
      <c r="F75" s="3">
        <f>(0.61+0.63)/2</f>
        <v>0.62</v>
      </c>
      <c r="G75" s="3">
        <f>(26+27)/2</f>
        <v>26.5</v>
      </c>
      <c r="H75" s="3"/>
      <c r="I75" s="3"/>
      <c r="J75" s="3">
        <f>(5.9+7)/2</f>
        <v>6.45</v>
      </c>
      <c r="K75" s="3"/>
      <c r="L75" s="3"/>
      <c r="M75" s="3"/>
      <c r="N75" s="3"/>
      <c r="O75" s="4"/>
      <c r="P75" s="4"/>
      <c r="Q75" s="5"/>
      <c r="R75" s="5"/>
      <c r="S75" s="5"/>
      <c r="T75" s="5"/>
      <c r="U75" s="4"/>
      <c r="V75" s="5"/>
      <c r="W75" s="5"/>
      <c r="X75" s="5"/>
      <c r="Y75" s="5"/>
      <c r="Z75" s="5"/>
      <c r="AA75" s="5"/>
      <c r="AB75" s="5"/>
      <c r="AC75" s="5"/>
      <c r="AD75" s="5"/>
      <c r="AE75" s="5"/>
      <c r="AF75" s="5"/>
      <c r="AG75" s="5"/>
      <c r="AH75" s="5"/>
      <c r="AI75" s="5"/>
      <c r="AJ75" s="5"/>
      <c r="AK75" s="5"/>
      <c r="AL75" s="5"/>
      <c r="AM75" s="5"/>
      <c r="AN75" s="5"/>
      <c r="AO75" s="5"/>
      <c r="AP75" s="5"/>
      <c r="AQ75" s="5"/>
      <c r="AR75" s="5"/>
      <c r="AS75" s="5"/>
      <c r="AT75" s="5"/>
    </row>
    <row r="76" spans="1:46" ht="12.75" customHeight="1" x14ac:dyDescent="0.2">
      <c r="A76" s="6"/>
      <c r="B76" s="1" t="s">
        <v>90</v>
      </c>
      <c r="C76" s="1" t="s">
        <v>91</v>
      </c>
      <c r="D76" s="2"/>
      <c r="E76" s="6" t="s">
        <v>45</v>
      </c>
      <c r="F76" s="3">
        <f>(0.41+0.62)/2</f>
        <v>0.51500000000000001</v>
      </c>
      <c r="G76" s="3">
        <f>(1+14)/2</f>
        <v>7.5</v>
      </c>
      <c r="H76" s="3">
        <f>(3.1+4.8)/2</f>
        <v>3.95</v>
      </c>
      <c r="I76" s="3"/>
      <c r="J76" s="3">
        <f>(23+56)/2</f>
        <v>39.5</v>
      </c>
      <c r="K76" s="3"/>
      <c r="L76" s="3"/>
      <c r="M76" s="3">
        <f>(80.7+84.1)/2</f>
        <v>82.4</v>
      </c>
      <c r="N76" s="3"/>
      <c r="O76" s="4"/>
      <c r="P76" s="1"/>
      <c r="Q76" s="5"/>
      <c r="R76" s="5"/>
      <c r="S76" s="5"/>
      <c r="T76" s="5"/>
      <c r="U76" s="4"/>
      <c r="V76" s="5"/>
      <c r="W76" s="5"/>
      <c r="X76" s="5"/>
      <c r="Y76" s="5"/>
      <c r="Z76" s="5"/>
      <c r="AA76" s="5"/>
      <c r="AB76" s="5"/>
      <c r="AC76" s="5"/>
      <c r="AD76" s="5"/>
      <c r="AE76" s="5"/>
      <c r="AF76" s="5"/>
      <c r="AG76" s="5"/>
      <c r="AH76" s="5"/>
      <c r="AI76" s="5"/>
      <c r="AJ76" s="5"/>
      <c r="AK76" s="5"/>
      <c r="AL76" s="5"/>
      <c r="AM76" s="5"/>
      <c r="AN76" s="5"/>
      <c r="AO76" s="5"/>
      <c r="AP76" s="5"/>
      <c r="AQ76" s="5"/>
      <c r="AR76" s="5"/>
      <c r="AS76" s="5"/>
      <c r="AT76" s="5"/>
    </row>
    <row r="77" spans="1:46" ht="12.75" customHeight="1" x14ac:dyDescent="0.2">
      <c r="A77" s="6"/>
      <c r="B77" s="1" t="s">
        <v>90</v>
      </c>
      <c r="C77" s="1" t="s">
        <v>91</v>
      </c>
      <c r="D77" s="2"/>
      <c r="E77" s="6" t="s">
        <v>46</v>
      </c>
      <c r="F77" s="3">
        <f>(0.53+0.61)/2</f>
        <v>0.57000000000000006</v>
      </c>
      <c r="G77" s="3">
        <f>(23+28)/2</f>
        <v>25.5</v>
      </c>
      <c r="H77" s="3"/>
      <c r="I77" s="3"/>
      <c r="J77" s="3">
        <f>(12+15)/2</f>
        <v>13.5</v>
      </c>
      <c r="K77" s="3"/>
      <c r="L77" s="3"/>
      <c r="M77" s="3"/>
      <c r="N77" s="3"/>
      <c r="O77" s="4"/>
      <c r="P77" s="4"/>
      <c r="Q77" s="5"/>
      <c r="R77" s="5"/>
      <c r="S77" s="5"/>
      <c r="T77" s="5"/>
      <c r="U77" s="4"/>
      <c r="V77" s="5"/>
      <c r="W77" s="5"/>
      <c r="X77" s="5"/>
      <c r="Y77" s="5"/>
      <c r="Z77" s="5"/>
      <c r="AA77" s="5"/>
      <c r="AB77" s="5"/>
      <c r="AC77" s="5"/>
      <c r="AD77" s="5"/>
      <c r="AE77" s="5"/>
      <c r="AF77" s="5"/>
      <c r="AG77" s="5"/>
      <c r="AH77" s="5"/>
      <c r="AI77" s="5"/>
      <c r="AJ77" s="5"/>
      <c r="AK77" s="5"/>
      <c r="AL77" s="5"/>
      <c r="AM77" s="5"/>
      <c r="AN77" s="5"/>
      <c r="AO77" s="5"/>
      <c r="AP77" s="5"/>
      <c r="AQ77" s="5"/>
      <c r="AR77" s="5"/>
      <c r="AS77" s="5"/>
      <c r="AT77" s="5"/>
    </row>
    <row r="78" spans="1:46" ht="12.75" customHeight="1" x14ac:dyDescent="0.2">
      <c r="A78" s="6"/>
      <c r="B78" s="1" t="s">
        <v>92</v>
      </c>
      <c r="C78" s="1" t="s">
        <v>93</v>
      </c>
      <c r="D78" s="2"/>
      <c r="E78" s="6" t="s">
        <v>45</v>
      </c>
      <c r="F78" s="3">
        <f>(0.57+0.81)/2</f>
        <v>0.69</v>
      </c>
      <c r="G78" s="3">
        <v>6</v>
      </c>
      <c r="H78" s="3">
        <v>6.1</v>
      </c>
      <c r="I78" s="3"/>
      <c r="J78" s="3">
        <v>30</v>
      </c>
      <c r="K78" s="3"/>
      <c r="L78" s="3"/>
      <c r="M78" s="3">
        <v>81</v>
      </c>
      <c r="N78" s="3"/>
      <c r="O78" s="4"/>
      <c r="P78" s="4"/>
      <c r="Q78" s="5"/>
      <c r="R78" s="5"/>
      <c r="S78" s="5"/>
      <c r="T78" s="5"/>
      <c r="U78" s="4"/>
      <c r="V78" s="1"/>
      <c r="W78" s="5"/>
      <c r="X78" s="5"/>
      <c r="Y78" s="5"/>
      <c r="Z78" s="5"/>
      <c r="AA78" s="5"/>
      <c r="AB78" s="5"/>
      <c r="AC78" s="5"/>
      <c r="AD78" s="5"/>
      <c r="AE78" s="5"/>
      <c r="AF78" s="5"/>
      <c r="AG78" s="5"/>
      <c r="AH78" s="5"/>
      <c r="AI78" s="5"/>
      <c r="AJ78" s="5"/>
      <c r="AK78" s="5"/>
      <c r="AL78" s="5"/>
      <c r="AM78" s="5"/>
      <c r="AN78" s="5"/>
      <c r="AO78" s="5"/>
      <c r="AP78" s="5"/>
      <c r="AQ78" s="5"/>
      <c r="AR78" s="5"/>
      <c r="AS78" s="5"/>
      <c r="AT78" s="5"/>
    </row>
    <row r="79" spans="1:46" ht="12.75" customHeight="1" x14ac:dyDescent="0.2">
      <c r="A79" s="6"/>
      <c r="B79" s="1" t="s">
        <v>94</v>
      </c>
      <c r="C79" s="1"/>
      <c r="D79" s="2"/>
      <c r="E79" s="6" t="s">
        <v>45</v>
      </c>
      <c r="F79" s="3">
        <f>(0.26+0.5)/2</f>
        <v>0.38</v>
      </c>
      <c r="G79" s="3">
        <f>(11+26)/2</f>
        <v>18.5</v>
      </c>
      <c r="H79" s="3">
        <f>(2.6+6.2)/2</f>
        <v>4.4000000000000004</v>
      </c>
      <c r="I79" s="3"/>
      <c r="J79" s="3">
        <f>(11+21)/2</f>
        <v>16</v>
      </c>
      <c r="K79" s="3"/>
      <c r="L79" s="3"/>
      <c r="M79" s="3">
        <f>(78+88)/2</f>
        <v>83</v>
      </c>
      <c r="N79" s="3"/>
      <c r="O79" s="4"/>
      <c r="P79" s="4"/>
      <c r="Q79" s="5"/>
      <c r="R79" s="5"/>
      <c r="S79" s="5"/>
      <c r="T79" s="5"/>
      <c r="U79" s="4"/>
      <c r="V79" s="5"/>
      <c r="W79" s="5"/>
      <c r="X79" s="5"/>
      <c r="Y79" s="5"/>
      <c r="Z79" s="5"/>
      <c r="AA79" s="5"/>
      <c r="AB79" s="5"/>
      <c r="AC79" s="5"/>
      <c r="AD79" s="5"/>
      <c r="AE79" s="5"/>
      <c r="AF79" s="5"/>
      <c r="AG79" s="5"/>
      <c r="AH79" s="5"/>
      <c r="AI79" s="5"/>
      <c r="AJ79" s="5"/>
      <c r="AK79" s="5"/>
      <c r="AL79" s="5"/>
      <c r="AM79" s="5"/>
      <c r="AN79" s="5"/>
      <c r="AO79" s="5"/>
      <c r="AP79" s="5"/>
      <c r="AQ79" s="5"/>
      <c r="AR79" s="5"/>
      <c r="AS79" s="5"/>
      <c r="AT79" s="5"/>
    </row>
    <row r="80" spans="1:46" ht="12.75" customHeight="1" x14ac:dyDescent="0.2">
      <c r="A80" s="6"/>
      <c r="B80" s="1" t="s">
        <v>94</v>
      </c>
      <c r="C80" s="1"/>
      <c r="D80" s="2"/>
      <c r="E80" s="6" t="s">
        <v>46</v>
      </c>
      <c r="F80" s="3">
        <v>0.36</v>
      </c>
      <c r="G80" s="3">
        <v>33</v>
      </c>
      <c r="H80" s="3">
        <v>3.9</v>
      </c>
      <c r="I80" s="3"/>
      <c r="J80" s="3">
        <v>11</v>
      </c>
      <c r="K80" s="3"/>
      <c r="L80" s="3"/>
      <c r="M80" s="3"/>
      <c r="N80" s="3"/>
      <c r="O80" s="4"/>
      <c r="P80" s="4"/>
      <c r="Q80" s="5"/>
      <c r="R80" s="5"/>
      <c r="S80" s="5"/>
      <c r="T80" s="5"/>
      <c r="U80" s="4"/>
      <c r="V80" s="5"/>
      <c r="W80" s="5"/>
      <c r="X80" s="5"/>
      <c r="Y80" s="5"/>
      <c r="Z80" s="5"/>
      <c r="AA80" s="5"/>
      <c r="AB80" s="5"/>
      <c r="AC80" s="5"/>
      <c r="AD80" s="5"/>
      <c r="AE80" s="5"/>
      <c r="AF80" s="5"/>
      <c r="AG80" s="5"/>
      <c r="AH80" s="5"/>
      <c r="AI80" s="5"/>
      <c r="AJ80" s="5"/>
      <c r="AK80" s="5"/>
      <c r="AL80" s="5"/>
      <c r="AM80" s="5"/>
      <c r="AN80" s="5"/>
      <c r="AO80" s="5"/>
      <c r="AP80" s="5"/>
      <c r="AQ80" s="5"/>
      <c r="AR80" s="5"/>
      <c r="AS80" s="5"/>
      <c r="AT80" s="5"/>
    </row>
    <row r="81" spans="1:46" ht="12.75" customHeight="1" x14ac:dyDescent="0.2">
      <c r="A81" s="6"/>
      <c r="B81" s="1" t="s">
        <v>95</v>
      </c>
      <c r="C81" s="1" t="s">
        <v>96</v>
      </c>
      <c r="D81" s="2"/>
      <c r="E81" s="6" t="s">
        <v>46</v>
      </c>
      <c r="F81" s="3">
        <v>0.51</v>
      </c>
      <c r="G81" s="3">
        <f>(19+20)/2</f>
        <v>19.5</v>
      </c>
      <c r="H81" s="3">
        <v>4.4000000000000004</v>
      </c>
      <c r="I81" s="3"/>
      <c r="J81" s="3">
        <f>(10+14)/2</f>
        <v>12</v>
      </c>
      <c r="K81" s="3"/>
      <c r="L81" s="3"/>
      <c r="M81" s="3"/>
      <c r="N81" s="3"/>
      <c r="O81" s="4"/>
      <c r="P81" s="4"/>
      <c r="Q81" s="5"/>
      <c r="R81" s="5"/>
      <c r="S81" s="5"/>
      <c r="T81" s="5"/>
      <c r="U81" s="4"/>
      <c r="V81" s="5"/>
      <c r="W81" s="5"/>
      <c r="X81" s="5"/>
      <c r="Y81" s="5"/>
      <c r="Z81" s="5"/>
      <c r="AA81" s="5"/>
      <c r="AB81" s="5"/>
      <c r="AC81" s="5"/>
      <c r="AD81" s="5"/>
      <c r="AE81" s="5"/>
      <c r="AF81" s="5"/>
      <c r="AG81" s="5"/>
      <c r="AH81" s="5"/>
      <c r="AI81" s="5"/>
      <c r="AJ81" s="5"/>
      <c r="AK81" s="5"/>
      <c r="AL81" s="5"/>
      <c r="AM81" s="5"/>
      <c r="AN81" s="5"/>
      <c r="AO81" s="5"/>
      <c r="AP81" s="5"/>
      <c r="AQ81" s="5"/>
      <c r="AR81" s="5"/>
      <c r="AS81" s="5"/>
      <c r="AT81" s="5"/>
    </row>
    <row r="82" spans="1:46" ht="12.75" customHeight="1" x14ac:dyDescent="0.2">
      <c r="A82" s="6"/>
      <c r="B82" s="1" t="s">
        <v>97</v>
      </c>
      <c r="C82" s="1"/>
      <c r="D82" s="2"/>
      <c r="E82" s="6" t="s">
        <v>45</v>
      </c>
      <c r="F82" s="3">
        <v>0.76</v>
      </c>
      <c r="G82" s="3">
        <v>27</v>
      </c>
      <c r="H82" s="3">
        <v>5.5</v>
      </c>
      <c r="I82" s="3"/>
      <c r="J82" s="3">
        <v>10.5</v>
      </c>
      <c r="K82" s="3"/>
      <c r="L82" s="3"/>
      <c r="M82" s="3">
        <v>85</v>
      </c>
      <c r="N82" s="3"/>
      <c r="O82" s="1"/>
      <c r="P82" s="1"/>
      <c r="Q82" s="5"/>
      <c r="R82" s="5"/>
      <c r="S82" s="5"/>
      <c r="T82" s="5"/>
      <c r="U82" s="4"/>
      <c r="V82" s="5"/>
      <c r="W82" s="5"/>
      <c r="X82" s="5"/>
      <c r="Y82" s="5"/>
      <c r="Z82" s="5"/>
      <c r="AA82" s="5"/>
      <c r="AB82" s="5"/>
      <c r="AC82" s="5"/>
      <c r="AD82" s="5"/>
      <c r="AE82" s="5"/>
      <c r="AF82" s="5"/>
      <c r="AG82" s="5"/>
      <c r="AH82" s="5"/>
      <c r="AI82" s="5"/>
      <c r="AJ82" s="5"/>
      <c r="AK82" s="5"/>
      <c r="AL82" s="5"/>
      <c r="AM82" s="5"/>
      <c r="AN82" s="5"/>
      <c r="AO82" s="5"/>
      <c r="AP82" s="5"/>
      <c r="AQ82" s="5"/>
      <c r="AR82" s="5"/>
      <c r="AS82" s="5"/>
      <c r="AT82" s="5"/>
    </row>
    <row r="83" spans="1:46" ht="12.75" customHeight="1" x14ac:dyDescent="0.2">
      <c r="A83" s="6"/>
      <c r="B83" s="1" t="s">
        <v>97</v>
      </c>
      <c r="C83" s="1"/>
      <c r="D83" s="2"/>
      <c r="E83" s="6" t="s">
        <v>46</v>
      </c>
      <c r="F83" s="3">
        <v>0.74</v>
      </c>
      <c r="G83" s="3">
        <v>39</v>
      </c>
      <c r="H83" s="3">
        <v>11.2</v>
      </c>
      <c r="I83" s="3"/>
      <c r="J83" s="3">
        <v>20</v>
      </c>
      <c r="K83" s="3"/>
      <c r="L83" s="3"/>
      <c r="M83" s="3"/>
      <c r="N83" s="3"/>
      <c r="O83" s="1"/>
      <c r="P83" s="1"/>
      <c r="Q83" s="1"/>
      <c r="R83" s="5"/>
      <c r="S83" s="5"/>
      <c r="T83" s="5"/>
      <c r="U83" s="4"/>
      <c r="V83" s="5"/>
      <c r="W83" s="5"/>
      <c r="X83" s="5"/>
      <c r="Y83" s="5"/>
      <c r="Z83" s="5"/>
      <c r="AA83" s="5"/>
      <c r="AB83" s="5"/>
      <c r="AC83" s="5"/>
      <c r="AD83" s="5"/>
      <c r="AE83" s="5"/>
      <c r="AF83" s="5"/>
      <c r="AG83" s="5"/>
      <c r="AH83" s="5"/>
      <c r="AI83" s="5"/>
      <c r="AJ83" s="5"/>
      <c r="AK83" s="5"/>
      <c r="AL83" s="5"/>
      <c r="AM83" s="5"/>
      <c r="AN83" s="5"/>
      <c r="AO83" s="5"/>
      <c r="AP83" s="5"/>
      <c r="AQ83" s="5"/>
      <c r="AR83" s="5"/>
      <c r="AS83" s="5"/>
      <c r="AT83" s="5"/>
    </row>
    <row r="84" spans="1:46" ht="12.75" customHeight="1" x14ac:dyDescent="0.2">
      <c r="A84" s="6"/>
      <c r="B84" s="1" t="s">
        <v>98</v>
      </c>
      <c r="C84" s="1"/>
      <c r="D84" s="2"/>
      <c r="E84" s="6" t="s">
        <v>45</v>
      </c>
      <c r="F84" s="3">
        <v>0.76</v>
      </c>
      <c r="G84" s="3">
        <f>(15+35)/2</f>
        <v>25</v>
      </c>
      <c r="H84" s="3">
        <f>(5+7)/2</f>
        <v>6</v>
      </c>
      <c r="I84" s="3"/>
      <c r="J84" s="3">
        <f>(17+20)/2</f>
        <v>18.5</v>
      </c>
      <c r="K84" s="3"/>
      <c r="L84" s="3"/>
      <c r="M84" s="3">
        <f>(81+89)/2</f>
        <v>85</v>
      </c>
      <c r="N84" s="3"/>
      <c r="O84" s="1"/>
      <c r="P84" s="1"/>
      <c r="Q84" s="5"/>
      <c r="R84" s="5"/>
      <c r="S84" s="5"/>
      <c r="T84" s="5"/>
      <c r="U84" s="4"/>
      <c r="V84" s="5"/>
      <c r="W84" s="5"/>
      <c r="X84" s="5"/>
      <c r="Y84" s="5"/>
      <c r="Z84" s="5"/>
      <c r="AA84" s="5"/>
      <c r="AB84" s="5"/>
      <c r="AC84" s="5"/>
      <c r="AD84" s="5"/>
      <c r="AE84" s="5"/>
      <c r="AF84" s="5"/>
      <c r="AG84" s="5"/>
      <c r="AH84" s="5"/>
      <c r="AI84" s="5"/>
      <c r="AJ84" s="5"/>
      <c r="AK84" s="5"/>
      <c r="AL84" s="5"/>
      <c r="AM84" s="5"/>
      <c r="AN84" s="5"/>
      <c r="AO84" s="5"/>
      <c r="AP84" s="5"/>
      <c r="AQ84" s="5"/>
      <c r="AR84" s="5"/>
      <c r="AS84" s="5"/>
      <c r="AT84" s="5"/>
    </row>
    <row r="85" spans="1:46" ht="12.75" customHeight="1" x14ac:dyDescent="0.2">
      <c r="A85" s="6"/>
      <c r="B85" s="1" t="s">
        <v>99</v>
      </c>
      <c r="C85" s="1"/>
      <c r="D85" s="2"/>
      <c r="E85" s="6" t="s">
        <v>45</v>
      </c>
      <c r="F85" s="3">
        <v>1</v>
      </c>
      <c r="G85" s="3">
        <f>(30+50)/2</f>
        <v>40</v>
      </c>
      <c r="H85" s="3">
        <f>(8+10)/2</f>
        <v>9</v>
      </c>
      <c r="I85" s="3"/>
      <c r="J85" s="3">
        <v>25</v>
      </c>
      <c r="K85" s="3"/>
      <c r="L85" s="3"/>
      <c r="M85" s="3">
        <v>93</v>
      </c>
      <c r="N85" s="3"/>
      <c r="O85" s="1"/>
      <c r="P85" s="1"/>
      <c r="Q85" s="5"/>
      <c r="R85" s="5"/>
      <c r="S85" s="5"/>
      <c r="T85" s="5"/>
      <c r="U85" s="4"/>
      <c r="V85" s="5"/>
      <c r="W85" s="5"/>
      <c r="X85" s="5"/>
      <c r="Y85" s="5"/>
      <c r="Z85" s="5"/>
      <c r="AA85" s="5"/>
      <c r="AB85" s="5"/>
      <c r="AC85" s="5"/>
      <c r="AD85" s="5"/>
      <c r="AE85" s="5"/>
      <c r="AF85" s="5"/>
      <c r="AG85" s="5"/>
      <c r="AH85" s="5"/>
      <c r="AI85" s="5"/>
      <c r="AJ85" s="5"/>
      <c r="AK85" s="5"/>
      <c r="AL85" s="5"/>
      <c r="AM85" s="5"/>
      <c r="AN85" s="5"/>
      <c r="AO85" s="5"/>
      <c r="AP85" s="5"/>
      <c r="AQ85" s="5"/>
      <c r="AR85" s="5"/>
      <c r="AS85" s="5"/>
      <c r="AT85" s="5"/>
    </row>
    <row r="86" spans="1:46" ht="12.75" customHeight="1" x14ac:dyDescent="0.2">
      <c r="A86" s="6"/>
      <c r="B86" s="1" t="s">
        <v>99</v>
      </c>
      <c r="C86" s="1"/>
      <c r="D86" s="2"/>
      <c r="E86" s="6" t="s">
        <v>46</v>
      </c>
      <c r="F86" s="3">
        <v>1</v>
      </c>
      <c r="G86" s="3">
        <v>50</v>
      </c>
      <c r="H86" s="3">
        <v>8</v>
      </c>
      <c r="I86" s="3"/>
      <c r="J86" s="3">
        <v>24</v>
      </c>
      <c r="K86" s="3"/>
      <c r="L86" s="3"/>
      <c r="M86" s="3"/>
      <c r="N86" s="3"/>
      <c r="O86" s="4"/>
      <c r="P86" s="4"/>
      <c r="Q86" s="5"/>
      <c r="R86" s="5"/>
      <c r="S86" s="5"/>
      <c r="T86" s="5"/>
      <c r="U86" s="4"/>
      <c r="V86" s="5"/>
      <c r="W86" s="5"/>
      <c r="X86" s="5"/>
      <c r="Y86" s="5"/>
      <c r="Z86" s="5"/>
      <c r="AA86" s="5"/>
      <c r="AB86" s="5"/>
      <c r="AC86" s="5"/>
      <c r="AD86" s="5"/>
      <c r="AE86" s="5"/>
      <c r="AF86" s="5"/>
      <c r="AG86" s="5"/>
      <c r="AH86" s="5"/>
      <c r="AI86" s="5"/>
      <c r="AJ86" s="5"/>
      <c r="AK86" s="5"/>
      <c r="AL86" s="5"/>
      <c r="AM86" s="5"/>
      <c r="AN86" s="5"/>
      <c r="AO86" s="5"/>
      <c r="AP86" s="5"/>
      <c r="AQ86" s="5"/>
      <c r="AR86" s="5"/>
      <c r="AS86" s="5"/>
      <c r="AT86" s="5"/>
    </row>
    <row r="87" spans="1:46" ht="12.75" customHeight="1" x14ac:dyDescent="0.2">
      <c r="A87" s="6"/>
      <c r="B87" s="1" t="s">
        <v>100</v>
      </c>
      <c r="C87" s="1"/>
      <c r="D87" s="2"/>
      <c r="E87" s="6" t="s">
        <v>45</v>
      </c>
      <c r="F87" s="3">
        <v>0.9</v>
      </c>
      <c r="G87" s="3">
        <v>33</v>
      </c>
      <c r="H87" s="3">
        <v>6.2</v>
      </c>
      <c r="I87" s="3"/>
      <c r="J87" s="3">
        <v>15.5</v>
      </c>
      <c r="K87" s="3"/>
      <c r="L87" s="3"/>
      <c r="M87" s="3">
        <v>80</v>
      </c>
      <c r="N87" s="3"/>
      <c r="O87" s="1"/>
      <c r="P87" s="1"/>
      <c r="Q87" s="1"/>
      <c r="R87" s="1"/>
      <c r="S87" s="5"/>
      <c r="T87" s="5"/>
      <c r="U87" s="4"/>
      <c r="V87" s="5"/>
      <c r="W87" s="5"/>
      <c r="X87" s="5"/>
      <c r="Y87" s="5"/>
      <c r="Z87" s="5"/>
      <c r="AA87" s="5"/>
      <c r="AB87" s="5"/>
      <c r="AC87" s="5"/>
      <c r="AD87" s="5"/>
      <c r="AE87" s="5"/>
      <c r="AF87" s="5"/>
      <c r="AG87" s="5"/>
      <c r="AH87" s="5"/>
      <c r="AI87" s="5"/>
      <c r="AJ87" s="5"/>
      <c r="AK87" s="5"/>
      <c r="AL87" s="5"/>
      <c r="AM87" s="5"/>
      <c r="AN87" s="5"/>
      <c r="AO87" s="5"/>
      <c r="AP87" s="5"/>
      <c r="AQ87" s="5"/>
      <c r="AR87" s="5"/>
      <c r="AS87" s="5"/>
      <c r="AT87" s="5"/>
    </row>
    <row r="88" spans="1:46" ht="12.75" customHeight="1" x14ac:dyDescent="0.2">
      <c r="A88" s="6"/>
      <c r="B88" s="1" t="s">
        <v>100</v>
      </c>
      <c r="C88" s="1"/>
      <c r="D88" s="2"/>
      <c r="E88" s="6" t="s">
        <v>46</v>
      </c>
      <c r="F88" s="3">
        <v>0.7</v>
      </c>
      <c r="G88" s="3">
        <v>35</v>
      </c>
      <c r="H88" s="3">
        <v>6.5</v>
      </c>
      <c r="I88" s="3"/>
      <c r="J88" s="3">
        <v>9.5</v>
      </c>
      <c r="K88" s="3"/>
      <c r="L88" s="3"/>
      <c r="M88" s="3"/>
      <c r="N88" s="3"/>
      <c r="O88" s="4"/>
      <c r="P88" s="1"/>
      <c r="Q88" s="4"/>
      <c r="R88" s="4"/>
      <c r="S88" s="5"/>
      <c r="T88" s="5"/>
      <c r="U88" s="4"/>
      <c r="V88" s="5"/>
      <c r="W88" s="5"/>
      <c r="X88" s="5"/>
      <c r="Y88" s="5"/>
      <c r="Z88" s="5"/>
      <c r="AA88" s="5"/>
      <c r="AB88" s="5"/>
      <c r="AC88" s="5"/>
      <c r="AD88" s="5"/>
      <c r="AE88" s="5"/>
      <c r="AF88" s="5"/>
      <c r="AG88" s="5"/>
      <c r="AH88" s="5"/>
      <c r="AI88" s="5"/>
      <c r="AJ88" s="5"/>
      <c r="AK88" s="5"/>
      <c r="AL88" s="5"/>
      <c r="AM88" s="5"/>
      <c r="AN88" s="5"/>
      <c r="AO88" s="5"/>
      <c r="AP88" s="5"/>
      <c r="AQ88" s="5"/>
      <c r="AR88" s="5"/>
      <c r="AS88" s="5"/>
      <c r="AT88" s="5"/>
    </row>
    <row r="89" spans="1:46" ht="12.75" customHeight="1" x14ac:dyDescent="0.2">
      <c r="A89" s="6"/>
      <c r="B89" s="1" t="s">
        <v>101</v>
      </c>
      <c r="C89" s="1"/>
      <c r="D89" s="2"/>
      <c r="E89" s="6" t="s">
        <v>45</v>
      </c>
      <c r="F89" s="3">
        <v>0.6</v>
      </c>
      <c r="G89" s="3">
        <v>31</v>
      </c>
      <c r="H89" s="3">
        <v>5.5</v>
      </c>
      <c r="I89" s="3"/>
      <c r="J89" s="3">
        <v>8</v>
      </c>
      <c r="K89" s="3"/>
      <c r="L89" s="3"/>
      <c r="M89" s="3">
        <v>61</v>
      </c>
      <c r="N89" s="3"/>
      <c r="O89" s="4"/>
      <c r="P89" s="1"/>
      <c r="Q89" s="4"/>
      <c r="R89" s="4"/>
      <c r="S89" s="5"/>
      <c r="T89" s="5"/>
      <c r="U89" s="4"/>
      <c r="V89" s="5"/>
      <c r="W89" s="5"/>
      <c r="X89" s="5"/>
      <c r="Y89" s="5"/>
      <c r="Z89" s="5"/>
      <c r="AA89" s="5"/>
      <c r="AB89" s="5"/>
      <c r="AC89" s="5"/>
      <c r="AD89" s="5"/>
      <c r="AE89" s="5"/>
      <c r="AF89" s="5"/>
      <c r="AG89" s="5"/>
      <c r="AH89" s="5"/>
      <c r="AI89" s="5"/>
      <c r="AJ89" s="5"/>
      <c r="AK89" s="5"/>
      <c r="AL89" s="5"/>
      <c r="AM89" s="5"/>
      <c r="AN89" s="5"/>
      <c r="AO89" s="5"/>
      <c r="AP89" s="5"/>
      <c r="AQ89" s="5"/>
      <c r="AR89" s="5"/>
      <c r="AS89" s="5"/>
      <c r="AT89" s="5"/>
    </row>
    <row r="90" spans="1:46" ht="12.75" customHeight="1" x14ac:dyDescent="0.2">
      <c r="A90" s="6"/>
      <c r="B90" s="1" t="s">
        <v>101</v>
      </c>
      <c r="C90" s="1"/>
      <c r="D90" s="2"/>
      <c r="E90" s="6" t="s">
        <v>46</v>
      </c>
      <c r="F90" s="3">
        <v>0.5</v>
      </c>
      <c r="G90" s="3">
        <v>33</v>
      </c>
      <c r="H90" s="3">
        <v>5</v>
      </c>
      <c r="I90" s="3"/>
      <c r="J90" s="3">
        <v>7.2</v>
      </c>
      <c r="K90" s="3"/>
      <c r="L90" s="3"/>
      <c r="M90" s="3"/>
      <c r="N90" s="3"/>
      <c r="O90" s="4"/>
      <c r="P90" s="1"/>
      <c r="Q90" s="1"/>
      <c r="R90" s="1"/>
      <c r="S90" s="5"/>
      <c r="T90" s="5"/>
      <c r="U90" s="4"/>
      <c r="V90" s="5"/>
      <c r="W90" s="5"/>
      <c r="X90" s="5"/>
      <c r="Y90" s="5"/>
      <c r="Z90" s="5"/>
      <c r="AA90" s="5"/>
      <c r="AB90" s="5"/>
      <c r="AC90" s="5"/>
      <c r="AD90" s="5"/>
      <c r="AE90" s="5"/>
      <c r="AF90" s="5"/>
      <c r="AG90" s="5"/>
      <c r="AH90" s="5"/>
      <c r="AI90" s="5"/>
      <c r="AJ90" s="5"/>
      <c r="AK90" s="5"/>
      <c r="AL90" s="5"/>
      <c r="AM90" s="5"/>
      <c r="AN90" s="5"/>
      <c r="AO90" s="5"/>
      <c r="AP90" s="5"/>
      <c r="AQ90" s="5"/>
      <c r="AR90" s="5"/>
      <c r="AS90" s="5"/>
      <c r="AT90" s="5"/>
    </row>
    <row r="91" spans="1:46" ht="12.75" customHeight="1" x14ac:dyDescent="0.2">
      <c r="A91" s="6"/>
      <c r="B91" s="1" t="s">
        <v>102</v>
      </c>
      <c r="C91" s="1"/>
      <c r="D91" s="2"/>
      <c r="E91" s="6" t="s">
        <v>45</v>
      </c>
      <c r="F91" s="3">
        <v>0.65</v>
      </c>
      <c r="G91" s="3">
        <v>30</v>
      </c>
      <c r="H91" s="3">
        <v>6</v>
      </c>
      <c r="I91" s="3"/>
      <c r="J91" s="3">
        <v>9</v>
      </c>
      <c r="K91" s="3"/>
      <c r="L91" s="3"/>
      <c r="M91" s="3">
        <v>71</v>
      </c>
      <c r="N91" s="3"/>
      <c r="O91" s="4"/>
      <c r="P91" s="4"/>
      <c r="Q91" s="5"/>
      <c r="R91" s="5"/>
      <c r="S91" s="5"/>
      <c r="T91" s="5"/>
      <c r="U91" s="4"/>
      <c r="V91" s="5"/>
      <c r="W91" s="5"/>
      <c r="X91" s="5"/>
      <c r="Y91" s="5"/>
      <c r="Z91" s="5"/>
      <c r="AA91" s="5"/>
      <c r="AB91" s="5"/>
      <c r="AC91" s="5"/>
      <c r="AD91" s="5"/>
      <c r="AE91" s="5"/>
      <c r="AF91" s="5"/>
      <c r="AG91" s="5"/>
      <c r="AH91" s="5"/>
      <c r="AI91" s="5"/>
      <c r="AJ91" s="5"/>
      <c r="AK91" s="5"/>
      <c r="AL91" s="5"/>
      <c r="AM91" s="5"/>
      <c r="AN91" s="5"/>
      <c r="AO91" s="5"/>
      <c r="AP91" s="5"/>
      <c r="AQ91" s="5"/>
      <c r="AR91" s="5"/>
      <c r="AS91" s="5"/>
      <c r="AT91" s="5"/>
    </row>
    <row r="92" spans="1:46" ht="12.75" customHeight="1" x14ac:dyDescent="0.2">
      <c r="A92" s="6"/>
      <c r="B92" s="1" t="s">
        <v>102</v>
      </c>
      <c r="C92" s="1"/>
      <c r="D92" s="2"/>
      <c r="E92" s="6" t="s">
        <v>46</v>
      </c>
      <c r="F92" s="3">
        <v>0.52</v>
      </c>
      <c r="G92" s="3">
        <v>26</v>
      </c>
      <c r="H92" s="3">
        <v>5.2</v>
      </c>
      <c r="I92" s="3"/>
      <c r="J92" s="3">
        <v>8</v>
      </c>
      <c r="K92" s="3"/>
      <c r="L92" s="3"/>
      <c r="M92" s="3"/>
      <c r="N92" s="3"/>
      <c r="O92" s="4"/>
      <c r="P92" s="4"/>
      <c r="Q92" s="5"/>
      <c r="R92" s="5"/>
      <c r="S92" s="5"/>
      <c r="T92" s="5"/>
      <c r="U92" s="4"/>
      <c r="V92" s="5"/>
      <c r="W92" s="5"/>
      <c r="X92" s="5"/>
      <c r="Y92" s="5"/>
      <c r="Z92" s="5"/>
      <c r="AA92" s="5"/>
      <c r="AB92" s="5"/>
      <c r="AC92" s="5"/>
      <c r="AD92" s="5"/>
      <c r="AE92" s="5"/>
      <c r="AF92" s="5"/>
      <c r="AG92" s="5"/>
      <c r="AH92" s="5"/>
      <c r="AI92" s="5"/>
      <c r="AJ92" s="5"/>
      <c r="AK92" s="5"/>
      <c r="AL92" s="5"/>
      <c r="AM92" s="5"/>
      <c r="AN92" s="5"/>
      <c r="AO92" s="5"/>
      <c r="AP92" s="5"/>
      <c r="AQ92" s="5"/>
      <c r="AR92" s="5"/>
      <c r="AS92" s="5"/>
      <c r="AT92" s="5"/>
    </row>
    <row r="93" spans="1:46" ht="12.75" customHeight="1" x14ac:dyDescent="0.2">
      <c r="A93" s="6"/>
      <c r="B93" s="1" t="s">
        <v>103</v>
      </c>
      <c r="C93" s="1"/>
      <c r="D93" s="2"/>
      <c r="E93" s="6" t="s">
        <v>45</v>
      </c>
      <c r="F93" s="3">
        <f>(1.25+1.45)/2</f>
        <v>1.35</v>
      </c>
      <c r="G93" s="3">
        <f>(45+50)/2</f>
        <v>47.5</v>
      </c>
      <c r="H93" s="3">
        <f>(5.7+6)/2</f>
        <v>5.85</v>
      </c>
      <c r="I93" s="3"/>
      <c r="J93" s="3">
        <f t="shared" ref="J93:J94" si="1">(11+13)/2</f>
        <v>12</v>
      </c>
      <c r="K93" s="3"/>
      <c r="L93" s="3"/>
      <c r="M93" s="3">
        <f>(60+64)/2</f>
        <v>62</v>
      </c>
      <c r="N93" s="3"/>
      <c r="O93" s="4"/>
      <c r="P93" s="4"/>
      <c r="Q93" s="5"/>
      <c r="R93" s="5"/>
      <c r="S93" s="5"/>
      <c r="T93" s="5"/>
      <c r="U93" s="4"/>
      <c r="V93" s="5"/>
      <c r="W93" s="5"/>
      <c r="X93" s="5"/>
      <c r="Y93" s="5"/>
      <c r="Z93" s="5"/>
      <c r="AA93" s="5"/>
      <c r="AB93" s="5"/>
      <c r="AC93" s="5"/>
      <c r="AD93" s="5"/>
      <c r="AE93" s="5"/>
      <c r="AF93" s="5"/>
      <c r="AG93" s="5"/>
      <c r="AH93" s="5"/>
      <c r="AI93" s="5"/>
      <c r="AJ93" s="5"/>
      <c r="AK93" s="5"/>
      <c r="AL93" s="5"/>
      <c r="AM93" s="5"/>
      <c r="AN93" s="5"/>
      <c r="AO93" s="5"/>
      <c r="AP93" s="5"/>
      <c r="AQ93" s="5"/>
      <c r="AR93" s="5"/>
      <c r="AS93" s="5"/>
      <c r="AT93" s="5"/>
    </row>
    <row r="94" spans="1:46" ht="12.75" customHeight="1" x14ac:dyDescent="0.2">
      <c r="A94" s="6"/>
      <c r="B94" s="1" t="s">
        <v>103</v>
      </c>
      <c r="C94" s="1"/>
      <c r="D94" s="2"/>
      <c r="E94" s="6" t="s">
        <v>46</v>
      </c>
      <c r="F94" s="3">
        <f>(1.1+1.25)/2</f>
        <v>1.175</v>
      </c>
      <c r="G94" s="3">
        <f>(45+60)/2</f>
        <v>52.5</v>
      </c>
      <c r="H94" s="3">
        <f>(5+6)/2</f>
        <v>5.5</v>
      </c>
      <c r="I94" s="3"/>
      <c r="J94" s="3">
        <f t="shared" si="1"/>
        <v>12</v>
      </c>
      <c r="K94" s="3"/>
      <c r="L94" s="3"/>
      <c r="M94" s="3"/>
      <c r="N94" s="3"/>
      <c r="O94" s="4"/>
      <c r="P94" s="4"/>
      <c r="Q94" s="5"/>
      <c r="R94" s="5"/>
      <c r="S94" s="5"/>
      <c r="T94" s="5"/>
      <c r="U94" s="4"/>
      <c r="V94" s="5"/>
      <c r="W94" s="5"/>
      <c r="X94" s="5"/>
      <c r="Y94" s="5"/>
      <c r="Z94" s="5"/>
      <c r="AA94" s="5"/>
      <c r="AB94" s="5"/>
      <c r="AC94" s="5"/>
      <c r="AD94" s="5"/>
      <c r="AE94" s="5"/>
      <c r="AF94" s="5"/>
      <c r="AG94" s="5"/>
      <c r="AH94" s="5"/>
      <c r="AI94" s="5"/>
      <c r="AJ94" s="5"/>
      <c r="AK94" s="5"/>
      <c r="AL94" s="5"/>
      <c r="AM94" s="5"/>
      <c r="AN94" s="5"/>
      <c r="AO94" s="5"/>
      <c r="AP94" s="5"/>
      <c r="AQ94" s="5"/>
      <c r="AR94" s="5"/>
      <c r="AS94" s="5"/>
      <c r="AT94" s="5"/>
    </row>
    <row r="95" spans="1:46" ht="12.75" customHeight="1" x14ac:dyDescent="0.2">
      <c r="A95" s="6"/>
      <c r="B95" s="1" t="s">
        <v>104</v>
      </c>
      <c r="C95" s="1" t="s">
        <v>105</v>
      </c>
      <c r="D95" s="2"/>
      <c r="E95" s="6" t="s">
        <v>45</v>
      </c>
      <c r="F95" s="3">
        <f>(1.34+1.91)/2</f>
        <v>1.625</v>
      </c>
      <c r="G95" s="3">
        <f>(31+35)/2</f>
        <v>33</v>
      </c>
      <c r="H95" s="3">
        <f>(15.8+16.6)/2</f>
        <v>16.200000000000003</v>
      </c>
      <c r="I95" s="3"/>
      <c r="J95" s="3">
        <f>(7+7.4)/2</f>
        <v>7.2</v>
      </c>
      <c r="K95" s="3"/>
      <c r="L95" s="3"/>
      <c r="M95" s="3">
        <f>(60+64)/2</f>
        <v>62</v>
      </c>
      <c r="N95" s="3"/>
      <c r="O95" s="4"/>
      <c r="P95" s="4"/>
      <c r="Q95" s="5"/>
      <c r="R95" s="5"/>
      <c r="S95" s="5"/>
      <c r="T95" s="5"/>
      <c r="U95" s="4"/>
      <c r="V95" s="5"/>
      <c r="W95" s="5"/>
      <c r="X95" s="5"/>
      <c r="Y95" s="5"/>
      <c r="Z95" s="5"/>
      <c r="AA95" s="5"/>
      <c r="AB95" s="5"/>
      <c r="AC95" s="5"/>
      <c r="AD95" s="5"/>
      <c r="AE95" s="5"/>
      <c r="AF95" s="5"/>
      <c r="AG95" s="5"/>
      <c r="AH95" s="5"/>
      <c r="AI95" s="5"/>
      <c r="AJ95" s="5"/>
      <c r="AK95" s="5"/>
      <c r="AL95" s="5"/>
      <c r="AM95" s="5"/>
      <c r="AN95" s="5"/>
      <c r="AO95" s="5"/>
      <c r="AP95" s="5"/>
      <c r="AQ95" s="5"/>
      <c r="AR95" s="5"/>
      <c r="AS95" s="5"/>
      <c r="AT95" s="5"/>
    </row>
    <row r="96" spans="1:46" ht="12.75" customHeight="1" x14ac:dyDescent="0.2">
      <c r="A96" s="6"/>
      <c r="B96" s="1" t="s">
        <v>104</v>
      </c>
      <c r="C96" s="1" t="s">
        <v>105</v>
      </c>
      <c r="D96" s="2"/>
      <c r="E96" s="6" t="s">
        <v>46</v>
      </c>
      <c r="F96" s="3">
        <f>(0.81+1.08)/2</f>
        <v>0.94500000000000006</v>
      </c>
      <c r="G96" s="3">
        <f>(30+34)/2</f>
        <v>32</v>
      </c>
      <c r="H96" s="3">
        <f>(8.4+8.5)/2</f>
        <v>8.4499999999999993</v>
      </c>
      <c r="I96" s="3"/>
      <c r="J96" s="3">
        <f>(34+40)/2</f>
        <v>37</v>
      </c>
      <c r="K96" s="3"/>
      <c r="L96" s="3"/>
      <c r="M96" s="3"/>
      <c r="N96" s="3"/>
      <c r="O96" s="4"/>
      <c r="P96" s="4"/>
      <c r="Q96" s="5"/>
      <c r="R96" s="5"/>
      <c r="S96" s="5"/>
      <c r="T96" s="5"/>
      <c r="U96" s="4"/>
      <c r="V96" s="5"/>
      <c r="W96" s="5"/>
      <c r="X96" s="5"/>
      <c r="Y96" s="5"/>
      <c r="Z96" s="5"/>
      <c r="AA96" s="5"/>
      <c r="AB96" s="5"/>
      <c r="AC96" s="5"/>
      <c r="AD96" s="5"/>
      <c r="AE96" s="5"/>
      <c r="AF96" s="5"/>
      <c r="AG96" s="5"/>
      <c r="AH96" s="5"/>
      <c r="AI96" s="5"/>
      <c r="AJ96" s="5"/>
      <c r="AK96" s="5"/>
      <c r="AL96" s="5"/>
      <c r="AM96" s="5"/>
      <c r="AN96" s="5"/>
      <c r="AO96" s="5"/>
      <c r="AP96" s="5"/>
      <c r="AQ96" s="5"/>
      <c r="AR96" s="5"/>
      <c r="AS96" s="5"/>
      <c r="AT96" s="5"/>
    </row>
    <row r="97" spans="1:46" ht="12.75" customHeight="1" x14ac:dyDescent="0.2">
      <c r="A97" s="6"/>
      <c r="B97" s="1" t="s">
        <v>106</v>
      </c>
      <c r="C97" s="1"/>
      <c r="D97" s="2"/>
      <c r="E97" s="6" t="s">
        <v>45</v>
      </c>
      <c r="F97" s="3">
        <f>(1.2+2.03)/2</f>
        <v>1.6149999999999998</v>
      </c>
      <c r="G97" s="3">
        <f>(13+18)/2</f>
        <v>15.5</v>
      </c>
      <c r="H97" s="3">
        <f>(9+13)/2</f>
        <v>11</v>
      </c>
      <c r="I97" s="3"/>
      <c r="J97" s="3">
        <f>(18+32)/2</f>
        <v>25</v>
      </c>
      <c r="K97" s="3"/>
      <c r="L97" s="3"/>
      <c r="M97" s="3">
        <f>(88+93)/2</f>
        <v>90.5</v>
      </c>
      <c r="N97" s="3"/>
      <c r="O97" s="4"/>
      <c r="P97" s="4"/>
      <c r="Q97" s="5"/>
      <c r="R97" s="5"/>
      <c r="S97" s="5"/>
      <c r="T97" s="5"/>
      <c r="U97" s="4"/>
      <c r="V97" s="5"/>
      <c r="W97" s="5"/>
      <c r="X97" s="5"/>
      <c r="Y97" s="5"/>
      <c r="Z97" s="5"/>
      <c r="AA97" s="5"/>
      <c r="AB97" s="5"/>
      <c r="AC97" s="5"/>
      <c r="AD97" s="5"/>
      <c r="AE97" s="5"/>
      <c r="AF97" s="5"/>
      <c r="AG97" s="5"/>
      <c r="AH97" s="5"/>
      <c r="AI97" s="5"/>
      <c r="AJ97" s="5"/>
      <c r="AK97" s="5"/>
      <c r="AL97" s="5"/>
      <c r="AM97" s="5"/>
      <c r="AN97" s="5"/>
      <c r="AO97" s="5"/>
      <c r="AP97" s="5"/>
      <c r="AQ97" s="5"/>
      <c r="AR97" s="5"/>
      <c r="AS97" s="5"/>
      <c r="AT97" s="5"/>
    </row>
    <row r="98" spans="1:46" ht="12.75" customHeight="1" x14ac:dyDescent="0.2">
      <c r="A98" s="6"/>
      <c r="B98" s="1" t="s">
        <v>106</v>
      </c>
      <c r="C98" s="1"/>
      <c r="D98" s="2"/>
      <c r="E98" s="6" t="s">
        <v>46</v>
      </c>
      <c r="F98" s="3">
        <f>(0.94+1.33)/2</f>
        <v>1.135</v>
      </c>
      <c r="G98" s="3">
        <f>(16+23)/2</f>
        <v>19.5</v>
      </c>
      <c r="H98" s="3">
        <f>(6.6+8)/2</f>
        <v>7.3</v>
      </c>
      <c r="I98" s="3"/>
      <c r="J98" s="3">
        <f>(13+18)/2</f>
        <v>15.5</v>
      </c>
      <c r="K98" s="3"/>
      <c r="L98" s="3"/>
      <c r="M98" s="3"/>
      <c r="N98" s="3"/>
      <c r="O98" s="4"/>
      <c r="P98" s="4"/>
      <c r="Q98" s="5"/>
      <c r="R98" s="5"/>
      <c r="S98" s="5"/>
      <c r="T98" s="5"/>
      <c r="U98" s="4"/>
      <c r="V98" s="5"/>
      <c r="W98" s="5"/>
      <c r="X98" s="5"/>
      <c r="Y98" s="5"/>
      <c r="Z98" s="5"/>
      <c r="AA98" s="5"/>
      <c r="AB98" s="5"/>
      <c r="AC98" s="5"/>
      <c r="AD98" s="5"/>
      <c r="AE98" s="5"/>
      <c r="AF98" s="5"/>
      <c r="AG98" s="5"/>
      <c r="AH98" s="5"/>
      <c r="AI98" s="5"/>
      <c r="AJ98" s="5"/>
      <c r="AK98" s="5"/>
      <c r="AL98" s="5"/>
      <c r="AM98" s="5"/>
      <c r="AN98" s="5"/>
      <c r="AO98" s="5"/>
      <c r="AP98" s="5"/>
      <c r="AQ98" s="5"/>
      <c r="AR98" s="5"/>
      <c r="AS98" s="5"/>
      <c r="AT98" s="5"/>
    </row>
    <row r="99" spans="1:46" ht="12.75" customHeight="1" x14ac:dyDescent="0.2">
      <c r="A99" s="6"/>
      <c r="B99" s="1" t="s">
        <v>107</v>
      </c>
      <c r="C99" s="1"/>
      <c r="D99" s="2"/>
      <c r="E99" s="6" t="s">
        <v>45</v>
      </c>
      <c r="F99" s="3">
        <v>0.74</v>
      </c>
      <c r="G99" s="3">
        <v>31</v>
      </c>
      <c r="H99" s="3">
        <v>7.2</v>
      </c>
      <c r="I99" s="3"/>
      <c r="J99" s="3">
        <v>7.2</v>
      </c>
      <c r="K99" s="3"/>
      <c r="L99" s="3"/>
      <c r="M99" s="3">
        <v>76</v>
      </c>
      <c r="N99" s="3"/>
      <c r="O99" s="4"/>
      <c r="P99" s="4"/>
      <c r="Q99" s="5"/>
      <c r="R99" s="5"/>
      <c r="S99" s="5"/>
      <c r="T99" s="5"/>
      <c r="U99" s="4"/>
      <c r="V99" s="5"/>
      <c r="W99" s="5"/>
      <c r="X99" s="5"/>
      <c r="Y99" s="5"/>
      <c r="Z99" s="5"/>
      <c r="AA99" s="5"/>
      <c r="AB99" s="5"/>
      <c r="AC99" s="5"/>
      <c r="AD99" s="5"/>
      <c r="AE99" s="5"/>
      <c r="AF99" s="5"/>
      <c r="AG99" s="5"/>
      <c r="AH99" s="5"/>
      <c r="AI99" s="5"/>
      <c r="AJ99" s="5"/>
      <c r="AK99" s="5"/>
      <c r="AL99" s="5"/>
      <c r="AM99" s="5"/>
      <c r="AN99" s="5"/>
      <c r="AO99" s="5"/>
      <c r="AP99" s="5"/>
      <c r="AQ99" s="5"/>
      <c r="AR99" s="5"/>
      <c r="AS99" s="5"/>
      <c r="AT99" s="5"/>
    </row>
    <row r="100" spans="1:46" ht="12.75" customHeight="1" x14ac:dyDescent="0.2">
      <c r="A100" s="6"/>
      <c r="B100" s="1" t="s">
        <v>107</v>
      </c>
      <c r="C100" s="1"/>
      <c r="D100" s="2"/>
      <c r="E100" s="6" t="s">
        <v>46</v>
      </c>
      <c r="F100" s="3">
        <v>0.65</v>
      </c>
      <c r="G100" s="3">
        <v>35</v>
      </c>
      <c r="H100" s="3">
        <v>5.5</v>
      </c>
      <c r="I100" s="3"/>
      <c r="J100" s="3">
        <v>6.5</v>
      </c>
      <c r="K100" s="3"/>
      <c r="L100" s="3"/>
      <c r="M100" s="3"/>
      <c r="N100" s="3"/>
      <c r="O100" s="4"/>
      <c r="P100" s="4"/>
      <c r="Q100" s="5"/>
      <c r="R100" s="5"/>
      <c r="S100" s="5"/>
      <c r="T100" s="5"/>
      <c r="U100" s="4"/>
      <c r="V100" s="5"/>
      <c r="W100" s="5"/>
      <c r="X100" s="5"/>
      <c r="Y100" s="5"/>
      <c r="Z100" s="5"/>
      <c r="AA100" s="5"/>
      <c r="AB100" s="5"/>
      <c r="AC100" s="5"/>
      <c r="AD100" s="5"/>
      <c r="AE100" s="5"/>
      <c r="AF100" s="5"/>
      <c r="AG100" s="5"/>
      <c r="AH100" s="5"/>
      <c r="AI100" s="5"/>
      <c r="AJ100" s="5"/>
      <c r="AK100" s="5"/>
      <c r="AL100" s="5"/>
      <c r="AM100" s="5"/>
      <c r="AN100" s="5"/>
      <c r="AO100" s="5"/>
      <c r="AP100" s="5"/>
      <c r="AQ100" s="5"/>
      <c r="AR100" s="5"/>
      <c r="AS100" s="5"/>
      <c r="AT100" s="5"/>
    </row>
    <row r="101" spans="1:46" ht="12.75" customHeight="1" x14ac:dyDescent="0.2">
      <c r="A101" s="6"/>
      <c r="B101" s="1" t="s">
        <v>108</v>
      </c>
      <c r="C101" s="1"/>
      <c r="D101" s="2"/>
      <c r="E101" s="6" t="s">
        <v>45</v>
      </c>
      <c r="F101" s="3">
        <v>0.8</v>
      </c>
      <c r="G101" s="3">
        <v>22</v>
      </c>
      <c r="H101" s="3">
        <v>5.0999999999999996</v>
      </c>
      <c r="I101" s="3"/>
      <c r="J101" s="3">
        <v>27</v>
      </c>
      <c r="K101" s="3"/>
      <c r="L101" s="3"/>
      <c r="M101" s="3">
        <v>90</v>
      </c>
      <c r="N101" s="3"/>
      <c r="O101" s="4"/>
      <c r="P101" s="4"/>
      <c r="Q101" s="5"/>
      <c r="R101" s="5"/>
      <c r="S101" s="5"/>
      <c r="T101" s="5"/>
      <c r="U101" s="4"/>
      <c r="V101" s="5"/>
      <c r="W101" s="5"/>
      <c r="X101" s="5"/>
      <c r="Y101" s="5"/>
      <c r="Z101" s="5"/>
      <c r="AA101" s="5"/>
      <c r="AB101" s="5"/>
      <c r="AC101" s="5"/>
      <c r="AD101" s="5"/>
      <c r="AE101" s="5"/>
      <c r="AF101" s="5"/>
      <c r="AG101" s="5"/>
      <c r="AH101" s="5"/>
      <c r="AI101" s="5"/>
      <c r="AJ101" s="5"/>
      <c r="AK101" s="5"/>
      <c r="AL101" s="5"/>
      <c r="AM101" s="5"/>
      <c r="AN101" s="5"/>
      <c r="AO101" s="5"/>
      <c r="AP101" s="5"/>
      <c r="AQ101" s="5"/>
      <c r="AR101" s="5"/>
      <c r="AS101" s="5"/>
      <c r="AT101" s="5"/>
    </row>
    <row r="102" spans="1:46" ht="12.75" customHeight="1" x14ac:dyDescent="0.2">
      <c r="A102" s="6"/>
      <c r="B102" s="1" t="s">
        <v>108</v>
      </c>
      <c r="C102" s="1"/>
      <c r="D102" s="2"/>
      <c r="E102" s="6" t="s">
        <v>46</v>
      </c>
      <c r="F102" s="3">
        <v>0.8</v>
      </c>
      <c r="G102" s="3">
        <v>27</v>
      </c>
      <c r="H102" s="3">
        <v>5.7</v>
      </c>
      <c r="I102" s="3"/>
      <c r="J102" s="3">
        <v>23</v>
      </c>
      <c r="K102" s="3"/>
      <c r="L102" s="3"/>
      <c r="M102" s="3"/>
      <c r="N102" s="3"/>
      <c r="O102" s="4"/>
      <c r="P102" s="4"/>
      <c r="Q102" s="5"/>
      <c r="R102" s="5"/>
      <c r="S102" s="5"/>
      <c r="T102" s="5"/>
      <c r="U102" s="4"/>
      <c r="V102" s="5"/>
      <c r="W102" s="5"/>
      <c r="X102" s="5"/>
      <c r="Y102" s="5"/>
      <c r="Z102" s="5"/>
      <c r="AA102" s="5"/>
      <c r="AB102" s="5"/>
      <c r="AC102" s="5"/>
      <c r="AD102" s="5"/>
      <c r="AE102" s="5"/>
      <c r="AF102" s="5"/>
      <c r="AG102" s="5"/>
      <c r="AH102" s="5"/>
      <c r="AI102" s="5"/>
      <c r="AJ102" s="5"/>
      <c r="AK102" s="5"/>
      <c r="AL102" s="5"/>
      <c r="AM102" s="5"/>
      <c r="AN102" s="5"/>
      <c r="AO102" s="5"/>
      <c r="AP102" s="5"/>
      <c r="AQ102" s="5"/>
      <c r="AR102" s="5"/>
      <c r="AS102" s="5"/>
      <c r="AT102" s="5"/>
    </row>
    <row r="103" spans="1:46" ht="12.75" customHeight="1" x14ac:dyDescent="0.2">
      <c r="A103" s="6"/>
      <c r="B103" s="1" t="s">
        <v>109</v>
      </c>
      <c r="C103" s="1"/>
      <c r="D103" s="2"/>
      <c r="E103" s="6" t="s">
        <v>45</v>
      </c>
      <c r="F103" s="3">
        <f>(0.54+1.02)/2</f>
        <v>0.78</v>
      </c>
      <c r="G103" s="3">
        <f>(96+197)/2</f>
        <v>146.5</v>
      </c>
      <c r="H103" s="3">
        <f>(3.8+7.7)/2</f>
        <v>5.75</v>
      </c>
      <c r="I103" s="3"/>
      <c r="J103" s="3">
        <f>(10.4+13.1)/2</f>
        <v>11.75</v>
      </c>
      <c r="K103" s="3"/>
      <c r="L103" s="3"/>
      <c r="M103" s="3">
        <f>(69+79)/2</f>
        <v>74</v>
      </c>
      <c r="N103" s="3"/>
      <c r="O103" s="4"/>
      <c r="P103" s="4"/>
      <c r="Q103" s="5"/>
      <c r="R103" s="5"/>
      <c r="S103" s="5"/>
      <c r="T103" s="5"/>
      <c r="U103" s="4"/>
      <c r="V103" s="5"/>
      <c r="W103" s="5"/>
      <c r="X103" s="5"/>
      <c r="Y103" s="5"/>
      <c r="Z103" s="5"/>
      <c r="AA103" s="5"/>
      <c r="AB103" s="5"/>
      <c r="AC103" s="5"/>
      <c r="AD103" s="5"/>
      <c r="AE103" s="5"/>
      <c r="AF103" s="5"/>
      <c r="AG103" s="5"/>
      <c r="AH103" s="5"/>
      <c r="AI103" s="5"/>
      <c r="AJ103" s="5"/>
      <c r="AK103" s="5"/>
      <c r="AL103" s="5"/>
      <c r="AM103" s="5"/>
      <c r="AN103" s="5"/>
      <c r="AO103" s="5"/>
      <c r="AP103" s="5"/>
      <c r="AQ103" s="5"/>
      <c r="AR103" s="5"/>
      <c r="AS103" s="5"/>
      <c r="AT103" s="5"/>
    </row>
    <row r="104" spans="1:46" ht="12.75" customHeight="1" x14ac:dyDescent="0.2">
      <c r="A104" s="6"/>
      <c r="B104" s="1" t="s">
        <v>109</v>
      </c>
      <c r="C104" s="1"/>
      <c r="D104" s="2"/>
      <c r="E104" s="6" t="s">
        <v>46</v>
      </c>
      <c r="F104" s="3">
        <f>(0.63+0.98)/2</f>
        <v>0.80499999999999994</v>
      </c>
      <c r="G104" s="3">
        <f>(96+163)/2</f>
        <v>129.5</v>
      </c>
      <c r="H104" s="3">
        <f>(3.9+7.4)/2</f>
        <v>5.65</v>
      </c>
      <c r="I104" s="3"/>
      <c r="J104" s="3">
        <f>(9.3+12.7)/2</f>
        <v>11</v>
      </c>
      <c r="K104" s="3"/>
      <c r="L104" s="3"/>
      <c r="M104" s="3"/>
      <c r="N104" s="3"/>
      <c r="O104" s="4"/>
      <c r="P104" s="4"/>
      <c r="Q104" s="5"/>
      <c r="R104" s="5"/>
      <c r="S104" s="5"/>
      <c r="T104" s="5"/>
      <c r="U104" s="4"/>
      <c r="V104" s="5"/>
      <c r="W104" s="5"/>
      <c r="X104" s="5"/>
      <c r="Y104" s="5"/>
      <c r="Z104" s="5"/>
      <c r="AA104" s="5"/>
      <c r="AB104" s="5"/>
      <c r="AC104" s="5"/>
      <c r="AD104" s="5"/>
      <c r="AE104" s="5"/>
      <c r="AF104" s="5"/>
      <c r="AG104" s="5"/>
      <c r="AH104" s="5"/>
      <c r="AI104" s="5"/>
      <c r="AJ104" s="5"/>
      <c r="AK104" s="5"/>
      <c r="AL104" s="5"/>
      <c r="AM104" s="5"/>
      <c r="AN104" s="5"/>
      <c r="AO104" s="5"/>
      <c r="AP104" s="5"/>
      <c r="AQ104" s="5"/>
      <c r="AR104" s="5"/>
      <c r="AS104" s="5"/>
      <c r="AT104" s="5"/>
    </row>
    <row r="105" spans="1:46" ht="12.75" customHeight="1" x14ac:dyDescent="0.2">
      <c r="A105" s="6"/>
      <c r="B105" s="1" t="s">
        <v>110</v>
      </c>
      <c r="C105" s="1"/>
      <c r="D105" s="2"/>
      <c r="E105" s="6" t="s">
        <v>45</v>
      </c>
      <c r="F105" s="3">
        <f>(0.5+0.6)/2</f>
        <v>0.55000000000000004</v>
      </c>
      <c r="G105" s="3">
        <f>(33+36)/2</f>
        <v>34.5</v>
      </c>
      <c r="H105" s="3">
        <f>(4.4+4.6)/2</f>
        <v>4.5</v>
      </c>
      <c r="I105" s="3"/>
      <c r="J105" s="3">
        <f>(18+19)/2</f>
        <v>18.5</v>
      </c>
      <c r="K105" s="3"/>
      <c r="L105" s="3"/>
      <c r="M105" s="3">
        <f>(87+90)/2</f>
        <v>88.5</v>
      </c>
      <c r="N105" s="3"/>
      <c r="O105" s="4"/>
      <c r="P105" s="4"/>
      <c r="Q105" s="5"/>
      <c r="R105" s="5"/>
      <c r="S105" s="5"/>
      <c r="T105" s="5"/>
      <c r="U105" s="4"/>
      <c r="V105" s="5"/>
      <c r="W105" s="5"/>
      <c r="X105" s="5"/>
      <c r="Y105" s="5"/>
      <c r="Z105" s="5"/>
      <c r="AA105" s="5"/>
      <c r="AB105" s="5"/>
      <c r="AC105" s="5"/>
      <c r="AD105" s="5"/>
      <c r="AE105" s="5"/>
      <c r="AF105" s="5"/>
      <c r="AG105" s="5"/>
      <c r="AH105" s="5"/>
      <c r="AI105" s="5"/>
      <c r="AJ105" s="5"/>
      <c r="AK105" s="5"/>
      <c r="AL105" s="5"/>
      <c r="AM105" s="5"/>
      <c r="AN105" s="5"/>
      <c r="AO105" s="5"/>
      <c r="AP105" s="5"/>
      <c r="AQ105" s="5"/>
      <c r="AR105" s="5"/>
      <c r="AS105" s="5"/>
      <c r="AT105" s="5"/>
    </row>
    <row r="106" spans="1:46" ht="12.75" customHeight="1" x14ac:dyDescent="0.2">
      <c r="A106" s="6"/>
      <c r="B106" s="1" t="s">
        <v>110</v>
      </c>
      <c r="C106" s="1"/>
      <c r="D106" s="2"/>
      <c r="E106" s="6" t="s">
        <v>46</v>
      </c>
      <c r="F106" s="3">
        <f>(0.55+0.65)/2</f>
        <v>0.60000000000000009</v>
      </c>
      <c r="G106" s="3">
        <f>(36+37)/2</f>
        <v>36.5</v>
      </c>
      <c r="H106" s="3">
        <f>(4+5)/2</f>
        <v>4.5</v>
      </c>
      <c r="I106" s="3"/>
      <c r="J106" s="3">
        <f>(16+18)/2</f>
        <v>17</v>
      </c>
      <c r="K106" s="3"/>
      <c r="L106" s="3"/>
      <c r="M106" s="3"/>
      <c r="N106" s="3"/>
      <c r="O106" s="4"/>
      <c r="P106" s="4"/>
      <c r="Q106" s="5"/>
      <c r="R106" s="5"/>
      <c r="S106" s="5"/>
      <c r="T106" s="5"/>
      <c r="U106" s="4"/>
      <c r="V106" s="5"/>
      <c r="W106" s="5"/>
      <c r="X106" s="5"/>
      <c r="Y106" s="5"/>
      <c r="Z106" s="5"/>
      <c r="AA106" s="5"/>
      <c r="AB106" s="5"/>
      <c r="AC106" s="5"/>
      <c r="AD106" s="5"/>
      <c r="AE106" s="5"/>
      <c r="AF106" s="5"/>
      <c r="AG106" s="5"/>
      <c r="AH106" s="5"/>
      <c r="AI106" s="5"/>
      <c r="AJ106" s="5"/>
      <c r="AK106" s="5"/>
      <c r="AL106" s="5"/>
      <c r="AM106" s="5"/>
      <c r="AN106" s="5"/>
      <c r="AO106" s="5"/>
      <c r="AP106" s="5"/>
      <c r="AQ106" s="5"/>
      <c r="AR106" s="5"/>
      <c r="AS106" s="5"/>
      <c r="AT106" s="5"/>
    </row>
    <row r="107" spans="1:46" ht="12.75" customHeight="1" x14ac:dyDescent="0.2">
      <c r="A107" s="6"/>
      <c r="B107" s="1" t="s">
        <v>111</v>
      </c>
      <c r="C107" s="1"/>
      <c r="D107" s="2"/>
      <c r="E107" s="6" t="s">
        <v>45</v>
      </c>
      <c r="F107" s="3">
        <f>(2.77+3.7)/2</f>
        <v>3.2350000000000003</v>
      </c>
      <c r="G107" s="3">
        <f>(75+93)/2</f>
        <v>84</v>
      </c>
      <c r="H107" s="3"/>
      <c r="I107" s="3"/>
      <c r="J107" s="3">
        <f>(12+14.2)/2</f>
        <v>13.1</v>
      </c>
      <c r="K107" s="3"/>
      <c r="L107" s="3"/>
      <c r="M107" s="3">
        <f>(87+90)/2</f>
        <v>88.5</v>
      </c>
      <c r="N107" s="3"/>
      <c r="O107" s="4"/>
      <c r="P107" s="4"/>
      <c r="Q107" s="5"/>
      <c r="R107" s="5"/>
      <c r="S107" s="5"/>
      <c r="T107" s="5"/>
      <c r="U107" s="4"/>
      <c r="V107" s="5"/>
      <c r="W107" s="5"/>
      <c r="X107" s="5"/>
      <c r="Y107" s="5"/>
      <c r="Z107" s="5"/>
      <c r="AA107" s="5"/>
      <c r="AB107" s="5"/>
      <c r="AC107" s="5"/>
      <c r="AD107" s="5"/>
      <c r="AE107" s="5"/>
      <c r="AF107" s="5"/>
      <c r="AG107" s="5"/>
      <c r="AH107" s="5"/>
      <c r="AI107" s="5"/>
      <c r="AJ107" s="5"/>
      <c r="AK107" s="5"/>
      <c r="AL107" s="5"/>
      <c r="AM107" s="5"/>
      <c r="AN107" s="5"/>
      <c r="AO107" s="5"/>
      <c r="AP107" s="5"/>
      <c r="AQ107" s="5"/>
      <c r="AR107" s="5"/>
      <c r="AS107" s="5"/>
      <c r="AT107" s="5"/>
    </row>
    <row r="108" spans="1:46" ht="12.75" customHeight="1" x14ac:dyDescent="0.2">
      <c r="A108" s="6"/>
      <c r="B108" s="1" t="s">
        <v>111</v>
      </c>
      <c r="C108" s="1"/>
      <c r="D108" s="2"/>
      <c r="E108" s="6" t="s">
        <v>46</v>
      </c>
      <c r="F108" s="3">
        <f>(0.94+2.15)/2</f>
        <v>1.5449999999999999</v>
      </c>
      <c r="G108" s="3">
        <f>(40+50)/2</f>
        <v>45</v>
      </c>
      <c r="H108" s="3"/>
      <c r="I108" s="3"/>
      <c r="J108" s="3">
        <f>(15+22)/2</f>
        <v>18.5</v>
      </c>
      <c r="K108" s="3"/>
      <c r="L108" s="3"/>
      <c r="M108" s="3"/>
      <c r="N108" s="3"/>
      <c r="O108" s="4"/>
      <c r="P108" s="4"/>
      <c r="Q108" s="5"/>
      <c r="R108" s="5"/>
      <c r="S108" s="5"/>
      <c r="T108" s="5"/>
      <c r="U108" s="4"/>
      <c r="V108" s="5"/>
      <c r="W108" s="5"/>
      <c r="X108" s="5"/>
      <c r="Y108" s="5"/>
      <c r="Z108" s="5"/>
      <c r="AA108" s="5"/>
      <c r="AB108" s="5"/>
      <c r="AC108" s="5"/>
      <c r="AD108" s="5"/>
      <c r="AE108" s="5"/>
      <c r="AF108" s="5"/>
      <c r="AG108" s="5"/>
      <c r="AH108" s="5"/>
      <c r="AI108" s="5"/>
      <c r="AJ108" s="5"/>
      <c r="AK108" s="5"/>
      <c r="AL108" s="5"/>
      <c r="AM108" s="5"/>
      <c r="AN108" s="5"/>
      <c r="AO108" s="5"/>
      <c r="AP108" s="5"/>
      <c r="AQ108" s="5"/>
      <c r="AR108" s="5"/>
      <c r="AS108" s="5"/>
      <c r="AT108" s="5"/>
    </row>
    <row r="109" spans="1:46" ht="12.75" customHeight="1" x14ac:dyDescent="0.2">
      <c r="A109" s="6"/>
      <c r="B109" s="1" t="s">
        <v>112</v>
      </c>
      <c r="C109" s="1"/>
      <c r="D109" s="2"/>
      <c r="E109" s="6" t="s">
        <v>45</v>
      </c>
      <c r="F109" s="3">
        <v>0.42</v>
      </c>
      <c r="G109" s="3">
        <f>(7+8)/2</f>
        <v>7.5</v>
      </c>
      <c r="H109" s="3">
        <f t="shared" ref="H109:H110" si="2">(3+4)/2</f>
        <v>3.5</v>
      </c>
      <c r="I109" s="3"/>
      <c r="J109" s="3">
        <f>(10+11)/2</f>
        <v>10.5</v>
      </c>
      <c r="K109" s="3"/>
      <c r="L109" s="3"/>
      <c r="M109" s="3">
        <v>81</v>
      </c>
      <c r="N109" s="3"/>
      <c r="O109" s="4"/>
      <c r="P109" s="4"/>
      <c r="Q109" s="5"/>
      <c r="R109" s="5"/>
      <c r="S109" s="5"/>
      <c r="T109" s="5"/>
      <c r="U109" s="4"/>
      <c r="V109" s="5"/>
      <c r="W109" s="5"/>
      <c r="X109" s="5"/>
      <c r="Y109" s="5"/>
      <c r="Z109" s="5"/>
      <c r="AA109" s="5"/>
      <c r="AB109" s="5"/>
      <c r="AC109" s="5"/>
      <c r="AD109" s="5"/>
      <c r="AE109" s="5"/>
      <c r="AF109" s="5"/>
      <c r="AG109" s="5"/>
      <c r="AH109" s="5"/>
      <c r="AI109" s="5"/>
      <c r="AJ109" s="5"/>
      <c r="AK109" s="5"/>
      <c r="AL109" s="5"/>
      <c r="AM109" s="5"/>
      <c r="AN109" s="5"/>
      <c r="AO109" s="5"/>
      <c r="AP109" s="5"/>
      <c r="AQ109" s="5"/>
      <c r="AR109" s="5"/>
      <c r="AS109" s="5"/>
      <c r="AT109" s="5"/>
    </row>
    <row r="110" spans="1:46" ht="12.75" customHeight="1" x14ac:dyDescent="0.2">
      <c r="A110" s="6"/>
      <c r="B110" s="1" t="s">
        <v>112</v>
      </c>
      <c r="C110" s="1"/>
      <c r="D110" s="2"/>
      <c r="E110" s="6" t="s">
        <v>46</v>
      </c>
      <c r="F110" s="3">
        <v>0.42</v>
      </c>
      <c r="G110" s="3">
        <f>(8+9)/2</f>
        <v>8.5</v>
      </c>
      <c r="H110" s="3">
        <f t="shared" si="2"/>
        <v>3.5</v>
      </c>
      <c r="I110" s="3"/>
      <c r="J110" s="3">
        <f>(10+12)/2</f>
        <v>11</v>
      </c>
      <c r="K110" s="3"/>
      <c r="L110" s="3"/>
      <c r="M110" s="3"/>
      <c r="N110" s="3"/>
      <c r="O110" s="4"/>
      <c r="P110" s="4"/>
      <c r="Q110" s="5"/>
      <c r="R110" s="5"/>
      <c r="S110" s="5"/>
      <c r="T110" s="5"/>
      <c r="U110" s="4"/>
      <c r="V110" s="5"/>
      <c r="W110" s="5"/>
      <c r="X110" s="5"/>
      <c r="Y110" s="5"/>
      <c r="Z110" s="5"/>
      <c r="AA110" s="5"/>
      <c r="AB110" s="5"/>
      <c r="AC110" s="5"/>
      <c r="AD110" s="5"/>
      <c r="AE110" s="5"/>
      <c r="AF110" s="5"/>
      <c r="AG110" s="5"/>
      <c r="AH110" s="5"/>
      <c r="AI110" s="5"/>
      <c r="AJ110" s="5"/>
      <c r="AK110" s="5"/>
      <c r="AL110" s="5"/>
      <c r="AM110" s="5"/>
      <c r="AN110" s="5"/>
      <c r="AO110" s="5"/>
      <c r="AP110" s="5"/>
      <c r="AQ110" s="5"/>
      <c r="AR110" s="5"/>
      <c r="AS110" s="5"/>
      <c r="AT110" s="5"/>
    </row>
    <row r="111" spans="1:46" ht="12.75" customHeight="1" x14ac:dyDescent="0.2">
      <c r="A111" s="6"/>
      <c r="B111" s="1" t="s">
        <v>113</v>
      </c>
      <c r="C111" s="1"/>
      <c r="D111" s="2"/>
      <c r="E111" s="6" t="s">
        <v>45</v>
      </c>
      <c r="F111" s="3">
        <v>0.64</v>
      </c>
      <c r="G111" s="3">
        <v>30</v>
      </c>
      <c r="H111" s="3"/>
      <c r="I111" s="3"/>
      <c r="J111" s="3">
        <v>29</v>
      </c>
      <c r="K111" s="3"/>
      <c r="L111" s="3"/>
      <c r="M111" s="3">
        <v>93</v>
      </c>
      <c r="N111" s="3"/>
      <c r="O111" s="4"/>
      <c r="P111" s="4"/>
      <c r="Q111" s="5"/>
      <c r="R111" s="5"/>
      <c r="S111" s="5"/>
      <c r="T111" s="5"/>
      <c r="U111" s="4"/>
      <c r="V111" s="5"/>
      <c r="W111" s="5"/>
      <c r="X111" s="5"/>
      <c r="Y111" s="5"/>
      <c r="Z111" s="5"/>
      <c r="AA111" s="5"/>
      <c r="AB111" s="5"/>
      <c r="AC111" s="5"/>
      <c r="AD111" s="5"/>
      <c r="AE111" s="5"/>
      <c r="AF111" s="5"/>
      <c r="AG111" s="5"/>
      <c r="AH111" s="5"/>
      <c r="AI111" s="5"/>
      <c r="AJ111" s="5"/>
      <c r="AK111" s="5"/>
      <c r="AL111" s="5"/>
      <c r="AM111" s="5"/>
      <c r="AN111" s="5"/>
      <c r="AO111" s="5"/>
      <c r="AP111" s="5"/>
      <c r="AQ111" s="5"/>
      <c r="AR111" s="5"/>
      <c r="AS111" s="5"/>
      <c r="AT111" s="5"/>
    </row>
    <row r="112" spans="1:46" ht="12.75" customHeight="1" x14ac:dyDescent="0.2">
      <c r="A112" s="6"/>
      <c r="B112" s="1" t="s">
        <v>114</v>
      </c>
      <c r="C112" s="1"/>
      <c r="D112" s="2"/>
      <c r="E112" s="6" t="s">
        <v>45</v>
      </c>
      <c r="F112" s="3">
        <f>(0.8+0.85)/2</f>
        <v>0.82499999999999996</v>
      </c>
      <c r="G112" s="3">
        <f>(28+29)/2</f>
        <v>28.5</v>
      </c>
      <c r="H112" s="3">
        <f>(8+8.6)/2</f>
        <v>8.3000000000000007</v>
      </c>
      <c r="I112" s="3"/>
      <c r="J112" s="3">
        <f>(28+29)/2</f>
        <v>28.5</v>
      </c>
      <c r="K112" s="3"/>
      <c r="L112" s="3"/>
      <c r="M112" s="3">
        <f>(70+78)/2</f>
        <v>74</v>
      </c>
      <c r="N112" s="3"/>
      <c r="O112" s="4"/>
      <c r="P112" s="4"/>
      <c r="Q112" s="5"/>
      <c r="R112" s="5"/>
      <c r="S112" s="5"/>
      <c r="T112" s="5"/>
      <c r="U112" s="4"/>
      <c r="V112" s="5"/>
      <c r="W112" s="5"/>
      <c r="X112" s="5"/>
      <c r="Y112" s="5"/>
      <c r="Z112" s="5"/>
      <c r="AA112" s="5"/>
      <c r="AB112" s="5"/>
      <c r="AC112" s="5"/>
      <c r="AD112" s="5"/>
      <c r="AE112" s="5"/>
      <c r="AF112" s="5"/>
      <c r="AG112" s="5"/>
      <c r="AH112" s="5"/>
      <c r="AI112" s="5"/>
      <c r="AJ112" s="5"/>
      <c r="AK112" s="5"/>
      <c r="AL112" s="5"/>
      <c r="AM112" s="5"/>
      <c r="AN112" s="5"/>
      <c r="AO112" s="5"/>
      <c r="AP112" s="5"/>
      <c r="AQ112" s="5"/>
      <c r="AR112" s="5"/>
      <c r="AS112" s="5"/>
      <c r="AT112" s="5"/>
    </row>
    <row r="113" spans="1:46" ht="12.75" customHeight="1" x14ac:dyDescent="0.2">
      <c r="A113" s="6"/>
      <c r="B113" s="1" t="s">
        <v>114</v>
      </c>
      <c r="C113" s="1"/>
      <c r="D113" s="2"/>
      <c r="E113" s="6" t="s">
        <v>46</v>
      </c>
      <c r="F113" s="3">
        <f>(0.75+0.77)/2</f>
        <v>0.76</v>
      </c>
      <c r="G113" s="3">
        <f>(28.4+31)/2</f>
        <v>29.7</v>
      </c>
      <c r="H113" s="3">
        <f>(5+6)/2</f>
        <v>5.5</v>
      </c>
      <c r="I113" s="3"/>
      <c r="J113" s="3">
        <f>(25+31)/2</f>
        <v>28</v>
      </c>
      <c r="K113" s="3"/>
      <c r="L113" s="3"/>
      <c r="M113" s="3"/>
      <c r="N113" s="3"/>
      <c r="O113" s="4"/>
      <c r="P113" s="4"/>
      <c r="Q113" s="5"/>
      <c r="R113" s="5"/>
      <c r="S113" s="5"/>
      <c r="T113" s="5"/>
      <c r="U113" s="4"/>
      <c r="V113" s="5"/>
      <c r="W113" s="5"/>
      <c r="X113" s="5"/>
      <c r="Y113" s="5"/>
      <c r="Z113" s="5"/>
      <c r="AA113" s="5"/>
      <c r="AB113" s="5"/>
      <c r="AC113" s="5"/>
      <c r="AD113" s="5"/>
      <c r="AE113" s="5"/>
      <c r="AF113" s="5"/>
      <c r="AG113" s="5"/>
      <c r="AH113" s="5"/>
      <c r="AI113" s="5"/>
      <c r="AJ113" s="5"/>
      <c r="AK113" s="5"/>
      <c r="AL113" s="5"/>
      <c r="AM113" s="5"/>
      <c r="AN113" s="5"/>
      <c r="AO113" s="5"/>
      <c r="AP113" s="5"/>
      <c r="AQ113" s="5"/>
      <c r="AR113" s="5"/>
      <c r="AS113" s="5"/>
      <c r="AT113" s="5"/>
    </row>
    <row r="114" spans="1:46" ht="12.75" customHeight="1" x14ac:dyDescent="0.2">
      <c r="A114" s="6"/>
      <c r="B114" s="1" t="s">
        <v>115</v>
      </c>
      <c r="C114" s="1"/>
      <c r="D114" s="2"/>
      <c r="E114" s="6" t="s">
        <v>45</v>
      </c>
      <c r="F114" s="3">
        <f>(0.77+1.2)/2</f>
        <v>0.98499999999999999</v>
      </c>
      <c r="G114" s="3">
        <f>(40+54)/2</f>
        <v>47</v>
      </c>
      <c r="H114" s="3">
        <f>(10+13)/2</f>
        <v>11.5</v>
      </c>
      <c r="I114" s="3"/>
      <c r="J114" s="3">
        <f>(18+24)/2</f>
        <v>21</v>
      </c>
      <c r="K114" s="3"/>
      <c r="L114" s="3"/>
      <c r="M114" s="3">
        <f>(66+75)/2</f>
        <v>70.5</v>
      </c>
      <c r="N114" s="3"/>
      <c r="O114" s="4"/>
      <c r="P114" s="4"/>
      <c r="Q114" s="5"/>
      <c r="R114" s="5"/>
      <c r="S114" s="5"/>
      <c r="T114" s="5"/>
      <c r="U114" s="4"/>
      <c r="V114" s="5"/>
      <c r="W114" s="5"/>
      <c r="X114" s="5"/>
      <c r="Y114" s="5"/>
      <c r="Z114" s="5"/>
      <c r="AA114" s="5"/>
      <c r="AB114" s="5"/>
      <c r="AC114" s="5"/>
      <c r="AD114" s="5"/>
      <c r="AE114" s="5"/>
      <c r="AF114" s="5"/>
      <c r="AG114" s="5"/>
      <c r="AH114" s="5"/>
      <c r="AI114" s="5"/>
      <c r="AJ114" s="5"/>
      <c r="AK114" s="5"/>
      <c r="AL114" s="5"/>
      <c r="AM114" s="5"/>
      <c r="AN114" s="5"/>
      <c r="AO114" s="5"/>
      <c r="AP114" s="5"/>
      <c r="AQ114" s="5"/>
      <c r="AR114" s="5"/>
      <c r="AS114" s="5"/>
      <c r="AT114" s="5"/>
    </row>
    <row r="115" spans="1:46" ht="12.75" customHeight="1" x14ac:dyDescent="0.2">
      <c r="A115" s="6"/>
      <c r="B115" s="1" t="s">
        <v>115</v>
      </c>
      <c r="C115" s="1"/>
      <c r="D115" s="2"/>
      <c r="E115" s="6" t="s">
        <v>46</v>
      </c>
      <c r="F115" s="3">
        <f>(0.7+0.93)/2</f>
        <v>0.81499999999999995</v>
      </c>
      <c r="G115" s="3">
        <f>(31+50)/2</f>
        <v>40.5</v>
      </c>
      <c r="H115" s="3">
        <f>(10+14)/2</f>
        <v>12</v>
      </c>
      <c r="I115" s="3"/>
      <c r="J115" s="3">
        <f>(16+30)/2</f>
        <v>23</v>
      </c>
      <c r="K115" s="3"/>
      <c r="L115" s="3"/>
      <c r="M115" s="3"/>
      <c r="N115" s="3"/>
      <c r="O115" s="4"/>
      <c r="P115" s="4"/>
      <c r="Q115" s="5"/>
      <c r="R115" s="5"/>
      <c r="S115" s="5"/>
      <c r="T115" s="5"/>
      <c r="U115" s="4"/>
      <c r="V115" s="5"/>
      <c r="W115" s="5"/>
      <c r="X115" s="5"/>
      <c r="Y115" s="5"/>
      <c r="Z115" s="5"/>
      <c r="AA115" s="5"/>
      <c r="AB115" s="5"/>
      <c r="AC115" s="5"/>
      <c r="AD115" s="5"/>
      <c r="AE115" s="5"/>
      <c r="AF115" s="5"/>
      <c r="AG115" s="5"/>
      <c r="AH115" s="5"/>
      <c r="AI115" s="5"/>
      <c r="AJ115" s="5"/>
      <c r="AK115" s="5"/>
      <c r="AL115" s="5"/>
      <c r="AM115" s="5"/>
      <c r="AN115" s="5"/>
      <c r="AO115" s="5"/>
      <c r="AP115" s="5"/>
      <c r="AQ115" s="5"/>
      <c r="AR115" s="5"/>
      <c r="AS115" s="5"/>
      <c r="AT115" s="5"/>
    </row>
    <row r="116" spans="1:46" ht="12.75" customHeight="1" x14ac:dyDescent="0.2">
      <c r="A116" s="6"/>
      <c r="B116" s="1" t="s">
        <v>116</v>
      </c>
      <c r="C116" s="1"/>
      <c r="D116" s="2"/>
      <c r="E116" s="6" t="s">
        <v>45</v>
      </c>
      <c r="F116" s="3">
        <f>(0.47+0.68)/2</f>
        <v>0.57499999999999996</v>
      </c>
      <c r="G116" s="3">
        <f>(20+38)/2</f>
        <v>29</v>
      </c>
      <c r="H116" s="3">
        <f>(6.6+7.7)/2</f>
        <v>7.15</v>
      </c>
      <c r="I116" s="3"/>
      <c r="J116" s="3">
        <f>(6.2+9.9)/2</f>
        <v>8.0500000000000007</v>
      </c>
      <c r="K116" s="3"/>
      <c r="L116" s="3"/>
      <c r="M116" s="3">
        <f>(72+82)/2</f>
        <v>77</v>
      </c>
      <c r="N116" s="3"/>
      <c r="O116" s="4"/>
      <c r="P116" s="4"/>
      <c r="Q116" s="5"/>
      <c r="R116" s="5"/>
      <c r="S116" s="5"/>
      <c r="T116" s="5"/>
      <c r="U116" s="4"/>
      <c r="V116" s="5"/>
      <c r="W116" s="5"/>
      <c r="X116" s="5"/>
      <c r="Y116" s="5"/>
      <c r="Z116" s="5"/>
      <c r="AA116" s="5"/>
      <c r="AB116" s="5"/>
      <c r="AC116" s="5"/>
      <c r="AD116" s="5"/>
      <c r="AE116" s="5"/>
      <c r="AF116" s="5"/>
      <c r="AG116" s="5"/>
      <c r="AH116" s="5"/>
      <c r="AI116" s="5"/>
      <c r="AJ116" s="5"/>
      <c r="AK116" s="5"/>
      <c r="AL116" s="5"/>
      <c r="AM116" s="5"/>
      <c r="AN116" s="5"/>
      <c r="AO116" s="5"/>
      <c r="AP116" s="5"/>
      <c r="AQ116" s="5"/>
      <c r="AR116" s="5"/>
      <c r="AS116" s="5"/>
      <c r="AT116" s="5"/>
    </row>
    <row r="117" spans="1:46" ht="12.75" customHeight="1" x14ac:dyDescent="0.2">
      <c r="A117" s="6"/>
      <c r="B117" s="1" t="s">
        <v>116</v>
      </c>
      <c r="C117" s="1"/>
      <c r="D117" s="2"/>
      <c r="E117" s="6" t="s">
        <v>46</v>
      </c>
      <c r="F117" s="3">
        <f>(0.54+0.67)/2</f>
        <v>0.60499999999999998</v>
      </c>
      <c r="G117" s="3">
        <f>(22+33)/2</f>
        <v>27.5</v>
      </c>
      <c r="H117" s="3">
        <f>(7.1+9.6)/2</f>
        <v>8.35</v>
      </c>
      <c r="I117" s="3"/>
      <c r="J117" s="3">
        <f>(12.7+16.3)/2</f>
        <v>14.5</v>
      </c>
      <c r="K117" s="3"/>
      <c r="L117" s="3"/>
      <c r="M117" s="3"/>
      <c r="N117" s="3"/>
      <c r="O117" s="4"/>
      <c r="P117" s="4"/>
      <c r="Q117" s="5"/>
      <c r="R117" s="5"/>
      <c r="S117" s="5"/>
      <c r="T117" s="5"/>
      <c r="U117" s="4"/>
      <c r="V117" s="5"/>
      <c r="W117" s="5"/>
      <c r="X117" s="5"/>
      <c r="Y117" s="5"/>
      <c r="Z117" s="5"/>
      <c r="AA117" s="5"/>
      <c r="AB117" s="5"/>
      <c r="AC117" s="5"/>
      <c r="AD117" s="5"/>
      <c r="AE117" s="5"/>
      <c r="AF117" s="5"/>
      <c r="AG117" s="5"/>
      <c r="AH117" s="5"/>
      <c r="AI117" s="5"/>
      <c r="AJ117" s="5"/>
      <c r="AK117" s="5"/>
      <c r="AL117" s="5"/>
      <c r="AM117" s="5"/>
      <c r="AN117" s="5"/>
      <c r="AO117" s="5"/>
      <c r="AP117" s="5"/>
      <c r="AQ117" s="5"/>
      <c r="AR117" s="5"/>
      <c r="AS117" s="5"/>
      <c r="AT117" s="5"/>
    </row>
    <row r="118" spans="1:46" ht="12.75" customHeight="1" x14ac:dyDescent="0.2">
      <c r="A118" s="6"/>
      <c r="B118" s="1" t="s">
        <v>117</v>
      </c>
      <c r="C118" s="1" t="s">
        <v>118</v>
      </c>
      <c r="D118" s="2"/>
      <c r="E118" s="6" t="s">
        <v>45</v>
      </c>
      <c r="F118" s="3">
        <f>(0.64+0.85)/2</f>
        <v>0.745</v>
      </c>
      <c r="G118" s="3">
        <f>(32+42)/2</f>
        <v>37</v>
      </c>
      <c r="H118" s="3">
        <f>(8+11)/2</f>
        <v>9.5</v>
      </c>
      <c r="I118" s="3"/>
      <c r="J118" s="3">
        <f>(2.8+4.6)/2</f>
        <v>3.6999999999999997</v>
      </c>
      <c r="K118" s="3"/>
      <c r="L118" s="3"/>
      <c r="M118" s="3">
        <f>(53+63)/2</f>
        <v>58</v>
      </c>
      <c r="N118" s="3"/>
      <c r="O118" s="4"/>
      <c r="P118" s="4"/>
      <c r="Q118" s="5"/>
      <c r="R118" s="5"/>
      <c r="S118" s="5"/>
      <c r="T118" s="5"/>
      <c r="U118" s="4"/>
      <c r="V118" s="5"/>
      <c r="W118" s="5"/>
      <c r="X118" s="5"/>
      <c r="Y118" s="5"/>
      <c r="Z118" s="5"/>
      <c r="AA118" s="5"/>
      <c r="AB118" s="5"/>
      <c r="AC118" s="5"/>
      <c r="AD118" s="5"/>
      <c r="AE118" s="5"/>
      <c r="AF118" s="5"/>
      <c r="AG118" s="5"/>
      <c r="AH118" s="5"/>
      <c r="AI118" s="5"/>
      <c r="AJ118" s="5"/>
      <c r="AK118" s="5"/>
      <c r="AL118" s="5"/>
      <c r="AM118" s="5"/>
      <c r="AN118" s="5"/>
      <c r="AO118" s="5"/>
      <c r="AP118" s="5"/>
      <c r="AQ118" s="5"/>
      <c r="AR118" s="5"/>
      <c r="AS118" s="5"/>
      <c r="AT118" s="5"/>
    </row>
    <row r="119" spans="1:46" ht="12.75" customHeight="1" x14ac:dyDescent="0.2">
      <c r="A119" s="6"/>
      <c r="B119" s="1" t="s">
        <v>117</v>
      </c>
      <c r="C119" s="1" t="s">
        <v>118</v>
      </c>
      <c r="D119" s="2"/>
      <c r="E119" s="6" t="s">
        <v>46</v>
      </c>
      <c r="F119" s="3">
        <f>(0.49+0.66)/2</f>
        <v>0.57499999999999996</v>
      </c>
      <c r="G119" s="3">
        <f>(38+49)/2</f>
        <v>43.5</v>
      </c>
      <c r="H119" s="3">
        <f>(7.2+9.3)/2</f>
        <v>8.25</v>
      </c>
      <c r="I119" s="3"/>
      <c r="J119" s="3">
        <v>3.5</v>
      </c>
      <c r="K119" s="3"/>
      <c r="L119" s="3"/>
      <c r="M119" s="3"/>
      <c r="N119" s="3"/>
      <c r="O119" s="4"/>
      <c r="P119" s="4"/>
      <c r="Q119" s="5"/>
      <c r="R119" s="5"/>
      <c r="S119" s="5"/>
      <c r="T119" s="5"/>
      <c r="U119" s="4"/>
      <c r="V119" s="5"/>
      <c r="W119" s="5"/>
      <c r="X119" s="5"/>
      <c r="Y119" s="5"/>
      <c r="Z119" s="5"/>
      <c r="AA119" s="5"/>
      <c r="AB119" s="5"/>
      <c r="AC119" s="5"/>
      <c r="AD119" s="5"/>
      <c r="AE119" s="5"/>
      <c r="AF119" s="5"/>
      <c r="AG119" s="5"/>
      <c r="AH119" s="5"/>
      <c r="AI119" s="5"/>
      <c r="AJ119" s="5"/>
      <c r="AK119" s="5"/>
      <c r="AL119" s="5"/>
      <c r="AM119" s="5"/>
      <c r="AN119" s="5"/>
      <c r="AO119" s="5"/>
      <c r="AP119" s="5"/>
      <c r="AQ119" s="5"/>
      <c r="AR119" s="5"/>
      <c r="AS119" s="5"/>
      <c r="AT119" s="5"/>
    </row>
    <row r="120" spans="1:46" ht="12.75" customHeight="1" x14ac:dyDescent="0.2">
      <c r="A120" s="6"/>
      <c r="B120" s="1" t="s">
        <v>119</v>
      </c>
      <c r="C120" s="1"/>
      <c r="D120" s="2"/>
      <c r="E120" s="6" t="s">
        <v>45</v>
      </c>
      <c r="F120" s="3">
        <v>0.5</v>
      </c>
      <c r="G120" s="3">
        <v>31</v>
      </c>
      <c r="H120" s="3">
        <v>8.3000000000000007</v>
      </c>
      <c r="I120" s="3"/>
      <c r="J120" s="3">
        <v>22</v>
      </c>
      <c r="K120" s="3"/>
      <c r="L120" s="3"/>
      <c r="M120" s="3">
        <v>72</v>
      </c>
      <c r="N120" s="3"/>
      <c r="O120" s="4"/>
      <c r="P120" s="4"/>
      <c r="Q120" s="5"/>
      <c r="R120" s="5"/>
      <c r="S120" s="5"/>
      <c r="T120" s="5"/>
      <c r="U120" s="4"/>
      <c r="V120" s="5"/>
      <c r="W120" s="5"/>
      <c r="X120" s="5"/>
      <c r="Y120" s="5"/>
      <c r="Z120" s="5"/>
      <c r="AA120" s="5"/>
      <c r="AB120" s="5"/>
      <c r="AC120" s="5"/>
      <c r="AD120" s="5"/>
      <c r="AE120" s="5"/>
      <c r="AF120" s="5"/>
      <c r="AG120" s="5"/>
      <c r="AH120" s="5"/>
      <c r="AI120" s="5"/>
      <c r="AJ120" s="5"/>
      <c r="AK120" s="5"/>
      <c r="AL120" s="5"/>
      <c r="AM120" s="5"/>
      <c r="AN120" s="5"/>
      <c r="AO120" s="5"/>
      <c r="AP120" s="5"/>
      <c r="AQ120" s="5"/>
      <c r="AR120" s="5"/>
      <c r="AS120" s="5"/>
      <c r="AT120" s="5"/>
    </row>
    <row r="121" spans="1:46" ht="12.75" customHeight="1" x14ac:dyDescent="0.2">
      <c r="A121" s="6"/>
      <c r="B121" s="1" t="s">
        <v>120</v>
      </c>
      <c r="C121" s="1"/>
      <c r="D121" s="2"/>
      <c r="E121" s="6" t="s">
        <v>45</v>
      </c>
      <c r="F121" s="3">
        <f>(0.41+0.48)/2</f>
        <v>0.44499999999999995</v>
      </c>
      <c r="G121" s="3">
        <f>(17+17.6)/2</f>
        <v>17.3</v>
      </c>
      <c r="H121" s="3">
        <f>(13.6+14)/2</f>
        <v>13.8</v>
      </c>
      <c r="I121" s="3"/>
      <c r="J121" s="3">
        <f>(11+12.7)/2</f>
        <v>11.85</v>
      </c>
      <c r="K121" s="3"/>
      <c r="L121" s="3"/>
      <c r="M121" s="3">
        <f>(66+70)/2</f>
        <v>68</v>
      </c>
      <c r="N121" s="3"/>
      <c r="O121" s="4"/>
      <c r="P121" s="4"/>
      <c r="Q121" s="5"/>
      <c r="R121" s="5"/>
      <c r="S121" s="5"/>
      <c r="T121" s="5"/>
      <c r="U121" s="4"/>
      <c r="V121" s="5"/>
      <c r="W121" s="5"/>
      <c r="X121" s="5"/>
      <c r="Y121" s="5"/>
      <c r="Z121" s="5"/>
      <c r="AA121" s="5"/>
      <c r="AB121" s="5"/>
      <c r="AC121" s="5"/>
      <c r="AD121" s="5"/>
      <c r="AE121" s="5"/>
      <c r="AF121" s="5"/>
      <c r="AG121" s="5"/>
      <c r="AH121" s="5"/>
      <c r="AI121" s="5"/>
      <c r="AJ121" s="5"/>
      <c r="AK121" s="5"/>
      <c r="AL121" s="5"/>
      <c r="AM121" s="5"/>
      <c r="AN121" s="5"/>
      <c r="AO121" s="5"/>
      <c r="AP121" s="5"/>
      <c r="AQ121" s="5"/>
      <c r="AR121" s="5"/>
      <c r="AS121" s="5"/>
      <c r="AT121" s="5"/>
    </row>
    <row r="122" spans="1:46" ht="12.75" customHeight="1" x14ac:dyDescent="0.2">
      <c r="A122" s="6"/>
      <c r="B122" s="1" t="s">
        <v>120</v>
      </c>
      <c r="C122" s="1"/>
      <c r="D122" s="2"/>
      <c r="E122" s="6" t="s">
        <v>46</v>
      </c>
      <c r="F122" s="3">
        <f>(0.36+0.4)/2</f>
        <v>0.38</v>
      </c>
      <c r="G122" s="3">
        <f>(18.9+19.7)/2</f>
        <v>19.299999999999997</v>
      </c>
      <c r="H122" s="3">
        <f>(13.2+13.7)/2</f>
        <v>13.45</v>
      </c>
      <c r="I122" s="3"/>
      <c r="J122" s="3">
        <v>9.3000000000000007</v>
      </c>
      <c r="K122" s="3"/>
      <c r="L122" s="3"/>
      <c r="M122" s="3"/>
      <c r="N122" s="3"/>
      <c r="O122" s="4"/>
      <c r="P122" s="4"/>
      <c r="Q122" s="5"/>
      <c r="R122" s="5"/>
      <c r="S122" s="5"/>
      <c r="T122" s="5"/>
      <c r="U122" s="4"/>
      <c r="V122" s="5"/>
      <c r="W122" s="5"/>
      <c r="X122" s="5"/>
      <c r="Y122" s="5"/>
      <c r="Z122" s="5"/>
      <c r="AA122" s="5"/>
      <c r="AB122" s="5"/>
      <c r="AC122" s="5"/>
      <c r="AD122" s="5"/>
      <c r="AE122" s="5"/>
      <c r="AF122" s="5"/>
      <c r="AG122" s="5"/>
      <c r="AH122" s="5"/>
      <c r="AI122" s="5"/>
      <c r="AJ122" s="5"/>
      <c r="AK122" s="5"/>
      <c r="AL122" s="5"/>
      <c r="AM122" s="5"/>
      <c r="AN122" s="5"/>
      <c r="AO122" s="5"/>
      <c r="AP122" s="5"/>
      <c r="AQ122" s="5"/>
      <c r="AR122" s="5"/>
      <c r="AS122" s="5"/>
      <c r="AT122" s="5"/>
    </row>
    <row r="123" spans="1:46" ht="12.75" customHeight="1" x14ac:dyDescent="0.2">
      <c r="A123" s="6"/>
      <c r="B123" s="1" t="s">
        <v>121</v>
      </c>
      <c r="C123" s="1"/>
      <c r="D123" s="2"/>
      <c r="E123" s="6" t="s">
        <v>45</v>
      </c>
      <c r="F123" s="3">
        <v>0.69</v>
      </c>
      <c r="G123" s="3">
        <v>31</v>
      </c>
      <c r="H123" s="3">
        <v>10</v>
      </c>
      <c r="I123" s="3"/>
      <c r="J123" s="3">
        <v>18</v>
      </c>
      <c r="K123" s="3"/>
      <c r="L123" s="3"/>
      <c r="M123" s="3">
        <v>67</v>
      </c>
      <c r="N123" s="3"/>
      <c r="O123" s="4"/>
      <c r="P123" s="4"/>
      <c r="Q123" s="5"/>
      <c r="R123" s="5"/>
      <c r="S123" s="5"/>
      <c r="T123" s="5"/>
      <c r="U123" s="4"/>
      <c r="V123" s="5"/>
      <c r="W123" s="5"/>
      <c r="X123" s="5"/>
      <c r="Y123" s="5"/>
      <c r="Z123" s="5"/>
      <c r="AA123" s="5"/>
      <c r="AB123" s="5"/>
      <c r="AC123" s="5"/>
      <c r="AD123" s="5"/>
      <c r="AE123" s="5"/>
      <c r="AF123" s="5"/>
      <c r="AG123" s="5"/>
      <c r="AH123" s="5"/>
      <c r="AI123" s="5"/>
      <c r="AJ123" s="5"/>
      <c r="AK123" s="5"/>
      <c r="AL123" s="5"/>
      <c r="AM123" s="5"/>
      <c r="AN123" s="5"/>
      <c r="AO123" s="5"/>
      <c r="AP123" s="5"/>
      <c r="AQ123" s="5"/>
      <c r="AR123" s="5"/>
      <c r="AS123" s="5"/>
      <c r="AT123" s="5"/>
    </row>
    <row r="124" spans="1:46" ht="12.75" customHeight="1" x14ac:dyDescent="0.2">
      <c r="A124" s="6"/>
      <c r="B124" s="1" t="s">
        <v>121</v>
      </c>
      <c r="C124" s="1"/>
      <c r="D124" s="2"/>
      <c r="E124" s="6" t="s">
        <v>46</v>
      </c>
      <c r="F124" s="3">
        <v>0.85</v>
      </c>
      <c r="G124" s="3">
        <v>43</v>
      </c>
      <c r="H124" s="3">
        <v>11</v>
      </c>
      <c r="I124" s="3"/>
      <c r="J124" s="3">
        <v>17</v>
      </c>
      <c r="K124" s="3"/>
      <c r="L124" s="3"/>
      <c r="M124" s="3"/>
      <c r="N124" s="3"/>
      <c r="O124" s="4"/>
      <c r="P124" s="4"/>
      <c r="Q124" s="5"/>
      <c r="R124" s="5"/>
      <c r="S124" s="5"/>
      <c r="T124" s="5"/>
      <c r="U124" s="4"/>
      <c r="V124" s="5"/>
      <c r="W124" s="5"/>
      <c r="X124" s="5"/>
      <c r="Y124" s="5"/>
      <c r="Z124" s="5"/>
      <c r="AA124" s="5"/>
      <c r="AB124" s="5"/>
      <c r="AC124" s="5"/>
      <c r="AD124" s="5"/>
      <c r="AE124" s="5"/>
      <c r="AF124" s="5"/>
      <c r="AG124" s="5"/>
      <c r="AH124" s="5"/>
      <c r="AI124" s="5"/>
      <c r="AJ124" s="5"/>
      <c r="AK124" s="5"/>
      <c r="AL124" s="5"/>
      <c r="AM124" s="5"/>
      <c r="AN124" s="5"/>
      <c r="AO124" s="5"/>
      <c r="AP124" s="5"/>
      <c r="AQ124" s="5"/>
      <c r="AR124" s="5"/>
      <c r="AS124" s="5"/>
      <c r="AT124" s="5"/>
    </row>
    <row r="125" spans="1:46" ht="12.75" customHeight="1" x14ac:dyDescent="0.2">
      <c r="A125" s="6"/>
      <c r="B125" s="1" t="s">
        <v>122</v>
      </c>
      <c r="C125" s="1"/>
      <c r="D125" s="2"/>
      <c r="E125" s="6" t="s">
        <v>45</v>
      </c>
      <c r="F125" s="3">
        <f>(0.78+1.13)/2</f>
        <v>0.95499999999999996</v>
      </c>
      <c r="G125" s="3">
        <f>(32+36)/2</f>
        <v>34</v>
      </c>
      <c r="H125" s="3">
        <f>(11.7+12.4)/2</f>
        <v>12.05</v>
      </c>
      <c r="I125" s="3"/>
      <c r="J125" s="3">
        <f>(25+27)/2</f>
        <v>26</v>
      </c>
      <c r="K125" s="3"/>
      <c r="L125" s="3"/>
      <c r="M125" s="3">
        <f>(75.9+76.4)/2</f>
        <v>76.150000000000006</v>
      </c>
      <c r="N125" s="3"/>
      <c r="O125" s="4"/>
      <c r="P125" s="4"/>
      <c r="Q125" s="5"/>
      <c r="R125" s="5"/>
      <c r="S125" s="5"/>
      <c r="T125" s="5"/>
      <c r="U125" s="4"/>
      <c r="V125" s="5"/>
      <c r="W125" s="5"/>
      <c r="X125" s="5"/>
      <c r="Y125" s="5"/>
      <c r="Z125" s="5"/>
      <c r="AA125" s="5"/>
      <c r="AB125" s="5"/>
      <c r="AC125" s="5"/>
      <c r="AD125" s="5"/>
      <c r="AE125" s="5"/>
      <c r="AF125" s="5"/>
      <c r="AG125" s="5"/>
      <c r="AH125" s="5"/>
      <c r="AI125" s="5"/>
      <c r="AJ125" s="5"/>
      <c r="AK125" s="5"/>
      <c r="AL125" s="5"/>
      <c r="AM125" s="5"/>
      <c r="AN125" s="5"/>
      <c r="AO125" s="5"/>
      <c r="AP125" s="5"/>
      <c r="AQ125" s="5"/>
      <c r="AR125" s="5"/>
      <c r="AS125" s="5"/>
      <c r="AT125" s="5"/>
    </row>
    <row r="126" spans="1:46" ht="12.75" customHeight="1" x14ac:dyDescent="0.2">
      <c r="A126" s="6"/>
      <c r="B126" s="1" t="s">
        <v>122</v>
      </c>
      <c r="C126" s="1"/>
      <c r="D126" s="2"/>
      <c r="E126" s="6" t="s">
        <v>46</v>
      </c>
      <c r="F126" s="3">
        <f>(0.75+0.98)/2</f>
        <v>0.86499999999999999</v>
      </c>
      <c r="G126" s="3">
        <f>(36+40)/2</f>
        <v>38</v>
      </c>
      <c r="H126" s="3">
        <f>(10+11)/2</f>
        <v>10.5</v>
      </c>
      <c r="I126" s="3"/>
      <c r="J126" s="3">
        <f>(19.5+25.3)/2</f>
        <v>22.4</v>
      </c>
      <c r="K126" s="3"/>
      <c r="L126" s="3"/>
      <c r="M126" s="3"/>
      <c r="N126" s="3"/>
      <c r="O126" s="4"/>
      <c r="P126" s="4"/>
      <c r="Q126" s="5"/>
      <c r="R126" s="5"/>
      <c r="S126" s="5"/>
      <c r="T126" s="5"/>
      <c r="U126" s="4"/>
      <c r="V126" s="5"/>
      <c r="W126" s="5"/>
      <c r="X126" s="5"/>
      <c r="Y126" s="5"/>
      <c r="Z126" s="5"/>
      <c r="AA126" s="5"/>
      <c r="AB126" s="5"/>
      <c r="AC126" s="5"/>
      <c r="AD126" s="5"/>
      <c r="AE126" s="5"/>
      <c r="AF126" s="5"/>
      <c r="AG126" s="5"/>
      <c r="AH126" s="5"/>
      <c r="AI126" s="5"/>
      <c r="AJ126" s="5"/>
      <c r="AK126" s="5"/>
      <c r="AL126" s="5"/>
      <c r="AM126" s="5"/>
      <c r="AN126" s="5"/>
      <c r="AO126" s="5"/>
      <c r="AP126" s="5"/>
      <c r="AQ126" s="5"/>
      <c r="AR126" s="5"/>
      <c r="AS126" s="5"/>
      <c r="AT126" s="5"/>
    </row>
    <row r="127" spans="1:46" ht="12.75" customHeight="1" x14ac:dyDescent="0.2">
      <c r="A127" s="6"/>
      <c r="B127" s="1" t="s">
        <v>123</v>
      </c>
      <c r="C127" s="1"/>
      <c r="D127" s="2"/>
      <c r="E127" s="6" t="s">
        <v>45</v>
      </c>
      <c r="F127" s="3">
        <f>(0.97+1.18)/2</f>
        <v>1.075</v>
      </c>
      <c r="G127" s="3">
        <f>(78+96)/2</f>
        <v>87</v>
      </c>
      <c r="H127" s="3">
        <v>8.6999999999999993</v>
      </c>
      <c r="I127" s="3"/>
      <c r="J127" s="3">
        <f>(9.5+13.2)/2</f>
        <v>11.35</v>
      </c>
      <c r="K127" s="3"/>
      <c r="L127" s="3"/>
      <c r="M127" s="3">
        <f>(64+68)/2</f>
        <v>66</v>
      </c>
      <c r="N127" s="3"/>
      <c r="O127" s="4"/>
      <c r="P127" s="4"/>
      <c r="Q127" s="5"/>
      <c r="R127" s="5"/>
      <c r="S127" s="5"/>
      <c r="T127" s="5"/>
      <c r="U127" s="4"/>
      <c r="V127" s="5"/>
      <c r="W127" s="5"/>
      <c r="X127" s="5"/>
      <c r="Y127" s="5"/>
      <c r="Z127" s="5"/>
      <c r="AA127" s="5"/>
      <c r="AB127" s="5"/>
      <c r="AC127" s="5"/>
      <c r="AD127" s="5"/>
      <c r="AE127" s="5"/>
      <c r="AF127" s="5"/>
      <c r="AG127" s="5"/>
      <c r="AH127" s="5"/>
      <c r="AI127" s="5"/>
      <c r="AJ127" s="5"/>
      <c r="AK127" s="5"/>
      <c r="AL127" s="5"/>
      <c r="AM127" s="5"/>
      <c r="AN127" s="5"/>
      <c r="AO127" s="5"/>
      <c r="AP127" s="5"/>
      <c r="AQ127" s="5"/>
      <c r="AR127" s="5"/>
      <c r="AS127" s="5"/>
      <c r="AT127" s="5"/>
    </row>
    <row r="128" spans="1:46" ht="12.75" customHeight="1" x14ac:dyDescent="0.2">
      <c r="A128" s="6"/>
      <c r="B128" s="1" t="s">
        <v>123</v>
      </c>
      <c r="C128" s="1"/>
      <c r="D128" s="2"/>
      <c r="E128" s="6" t="s">
        <v>46</v>
      </c>
      <c r="F128" s="3">
        <f>(0.84+1.16)/2</f>
        <v>1</v>
      </c>
      <c r="G128" s="3">
        <f>(100+179)/2</f>
        <v>139.5</v>
      </c>
      <c r="H128" s="3">
        <v>6.5</v>
      </c>
      <c r="I128" s="3"/>
      <c r="J128" s="3">
        <f>(24+35)/2</f>
        <v>29.5</v>
      </c>
      <c r="K128" s="3"/>
      <c r="L128" s="3"/>
      <c r="M128" s="3"/>
      <c r="N128" s="3"/>
      <c r="O128" s="4"/>
      <c r="P128" s="4"/>
      <c r="Q128" s="5"/>
      <c r="R128" s="5"/>
      <c r="S128" s="5"/>
      <c r="T128" s="5"/>
      <c r="U128" s="4"/>
      <c r="V128" s="5"/>
      <c r="W128" s="5"/>
      <c r="X128" s="5"/>
      <c r="Y128" s="5"/>
      <c r="Z128" s="5"/>
      <c r="AA128" s="5"/>
      <c r="AB128" s="5"/>
      <c r="AC128" s="5"/>
      <c r="AD128" s="5"/>
      <c r="AE128" s="5"/>
      <c r="AF128" s="5"/>
      <c r="AG128" s="5"/>
      <c r="AH128" s="5"/>
      <c r="AI128" s="5"/>
      <c r="AJ128" s="5"/>
      <c r="AK128" s="5"/>
      <c r="AL128" s="5"/>
      <c r="AM128" s="5"/>
      <c r="AN128" s="5"/>
      <c r="AO128" s="5"/>
      <c r="AP128" s="5"/>
      <c r="AQ128" s="5"/>
      <c r="AR128" s="5"/>
      <c r="AS128" s="5"/>
      <c r="AT128" s="5"/>
    </row>
    <row r="129" spans="1:46" ht="12.75" customHeight="1" x14ac:dyDescent="0.2">
      <c r="A129" s="6"/>
      <c r="B129" s="1" t="s">
        <v>124</v>
      </c>
      <c r="C129" s="1"/>
      <c r="D129" s="2"/>
      <c r="E129" s="6" t="s">
        <v>45</v>
      </c>
      <c r="F129" s="3">
        <f>(0.34+0.44)/2</f>
        <v>0.39</v>
      </c>
      <c r="G129" s="3">
        <f>(17.7+24.3)/2</f>
        <v>21</v>
      </c>
      <c r="H129" s="3">
        <f>(8.4+10.5)/2</f>
        <v>9.4499999999999993</v>
      </c>
      <c r="I129" s="3"/>
      <c r="J129" s="3">
        <f>(4.7+6)/2</f>
        <v>5.35</v>
      </c>
      <c r="K129" s="3"/>
      <c r="L129" s="3"/>
      <c r="M129" s="3">
        <f>(78.7+85.1)/2</f>
        <v>81.900000000000006</v>
      </c>
      <c r="N129" s="3"/>
      <c r="O129" s="4"/>
      <c r="P129" s="4"/>
      <c r="Q129" s="5"/>
      <c r="R129" s="5"/>
      <c r="S129" s="5"/>
      <c r="T129" s="5"/>
      <c r="U129" s="4"/>
      <c r="V129" s="5"/>
      <c r="W129" s="5"/>
      <c r="X129" s="5"/>
      <c r="Y129" s="5"/>
      <c r="Z129" s="5"/>
      <c r="AA129" s="5"/>
      <c r="AB129" s="5"/>
      <c r="AC129" s="5"/>
      <c r="AD129" s="5"/>
      <c r="AE129" s="5"/>
      <c r="AF129" s="5"/>
      <c r="AG129" s="5"/>
      <c r="AH129" s="5"/>
      <c r="AI129" s="5"/>
      <c r="AJ129" s="5"/>
      <c r="AK129" s="5"/>
      <c r="AL129" s="5"/>
      <c r="AM129" s="5"/>
      <c r="AN129" s="5"/>
      <c r="AO129" s="5"/>
      <c r="AP129" s="5"/>
      <c r="AQ129" s="5"/>
      <c r="AR129" s="5"/>
      <c r="AS129" s="5"/>
      <c r="AT129" s="5"/>
    </row>
    <row r="130" spans="1:46" ht="12.75" customHeight="1" x14ac:dyDescent="0.2">
      <c r="A130" s="6"/>
      <c r="B130" s="1" t="s">
        <v>124</v>
      </c>
      <c r="C130" s="1"/>
      <c r="D130" s="2"/>
      <c r="E130" s="6" t="s">
        <v>46</v>
      </c>
      <c r="F130" s="3">
        <f>(0.25+0.29)/2</f>
        <v>0.27</v>
      </c>
      <c r="G130" s="3">
        <f>(15.3+20)/2</f>
        <v>17.649999999999999</v>
      </c>
      <c r="H130" s="3">
        <f>(7+9.4)/2</f>
        <v>8.1999999999999993</v>
      </c>
      <c r="I130" s="3"/>
      <c r="J130" s="3">
        <f>(14+17)/2</f>
        <v>15.5</v>
      </c>
      <c r="K130" s="3"/>
      <c r="L130" s="3"/>
      <c r="M130" s="3"/>
      <c r="N130" s="3"/>
      <c r="O130" s="4"/>
      <c r="P130" s="4"/>
      <c r="Q130" s="5"/>
      <c r="R130" s="5"/>
      <c r="S130" s="5"/>
      <c r="T130" s="5"/>
      <c r="U130" s="4"/>
      <c r="V130" s="5"/>
      <c r="W130" s="5"/>
      <c r="X130" s="5"/>
      <c r="Y130" s="5"/>
      <c r="Z130" s="5"/>
      <c r="AA130" s="5"/>
      <c r="AB130" s="5"/>
      <c r="AC130" s="5"/>
      <c r="AD130" s="5"/>
      <c r="AE130" s="5"/>
      <c r="AF130" s="5"/>
      <c r="AG130" s="5"/>
      <c r="AH130" s="5"/>
      <c r="AI130" s="5"/>
      <c r="AJ130" s="5"/>
      <c r="AK130" s="5"/>
      <c r="AL130" s="5"/>
      <c r="AM130" s="5"/>
      <c r="AN130" s="5"/>
      <c r="AO130" s="5"/>
      <c r="AP130" s="5"/>
      <c r="AQ130" s="5"/>
      <c r="AR130" s="5"/>
      <c r="AS130" s="5"/>
      <c r="AT130" s="5"/>
    </row>
    <row r="131" spans="1:46" ht="12.75" customHeight="1" x14ac:dyDescent="0.2">
      <c r="A131" s="6"/>
      <c r="B131" s="1" t="s">
        <v>125</v>
      </c>
      <c r="C131" s="1"/>
      <c r="D131" s="2"/>
      <c r="E131" s="6" t="s">
        <v>45</v>
      </c>
      <c r="F131" s="3">
        <f>(0.52+0.58)/2</f>
        <v>0.55000000000000004</v>
      </c>
      <c r="G131" s="3">
        <f>(24+28.8)/2</f>
        <v>26.4</v>
      </c>
      <c r="H131" s="3">
        <f>(9.9+10.3)/2</f>
        <v>10.100000000000001</v>
      </c>
      <c r="I131" s="3"/>
      <c r="J131" s="3">
        <f>(5.1+5.7)/2</f>
        <v>5.4</v>
      </c>
      <c r="K131" s="3"/>
      <c r="L131" s="3"/>
      <c r="M131" s="3">
        <f>(80.6+82.1)/2</f>
        <v>81.349999999999994</v>
      </c>
      <c r="N131" s="3"/>
      <c r="O131" s="4"/>
      <c r="P131" s="4"/>
      <c r="Q131" s="5"/>
      <c r="R131" s="5"/>
      <c r="S131" s="5"/>
      <c r="T131" s="5"/>
      <c r="U131" s="4"/>
      <c r="V131" s="5"/>
      <c r="W131" s="5"/>
      <c r="X131" s="5"/>
      <c r="Y131" s="5"/>
      <c r="Z131" s="5"/>
      <c r="AA131" s="5"/>
      <c r="AB131" s="5"/>
      <c r="AC131" s="5"/>
      <c r="AD131" s="5"/>
      <c r="AE131" s="5"/>
      <c r="AF131" s="5"/>
      <c r="AG131" s="5"/>
      <c r="AH131" s="5"/>
      <c r="AI131" s="5"/>
      <c r="AJ131" s="5"/>
      <c r="AK131" s="5"/>
      <c r="AL131" s="5"/>
      <c r="AM131" s="5"/>
      <c r="AN131" s="5"/>
      <c r="AO131" s="5"/>
      <c r="AP131" s="5"/>
      <c r="AQ131" s="5"/>
      <c r="AR131" s="5"/>
      <c r="AS131" s="5"/>
      <c r="AT131" s="5"/>
    </row>
    <row r="132" spans="1:46" ht="12.75" customHeight="1" x14ac:dyDescent="0.2">
      <c r="A132" s="6"/>
      <c r="B132" s="1" t="s">
        <v>125</v>
      </c>
      <c r="C132" s="1"/>
      <c r="D132" s="2"/>
      <c r="E132" s="6" t="s">
        <v>46</v>
      </c>
      <c r="F132" s="3">
        <f>(0.43+0.46)/2</f>
        <v>0.44500000000000001</v>
      </c>
      <c r="G132" s="3">
        <f>(25.7+30.9)/2</f>
        <v>28.299999999999997</v>
      </c>
      <c r="H132" s="3">
        <f>(9.1+9.4)/2</f>
        <v>9.25</v>
      </c>
      <c r="I132" s="3"/>
      <c r="J132" s="3">
        <f>(20.6+22.1)/2</f>
        <v>21.35</v>
      </c>
      <c r="K132" s="3"/>
      <c r="L132" s="3"/>
      <c r="M132" s="3"/>
      <c r="N132" s="3"/>
      <c r="O132" s="4"/>
      <c r="P132" s="4"/>
      <c r="Q132" s="5"/>
      <c r="R132" s="5"/>
      <c r="S132" s="5"/>
      <c r="T132" s="5"/>
      <c r="U132" s="4"/>
      <c r="V132" s="5"/>
      <c r="W132" s="5"/>
      <c r="X132" s="5"/>
      <c r="Y132" s="5"/>
      <c r="Z132" s="5"/>
      <c r="AA132" s="5"/>
      <c r="AB132" s="5"/>
      <c r="AC132" s="5"/>
      <c r="AD132" s="5"/>
      <c r="AE132" s="5"/>
      <c r="AF132" s="5"/>
      <c r="AG132" s="5"/>
      <c r="AH132" s="5"/>
      <c r="AI132" s="5"/>
      <c r="AJ132" s="5"/>
      <c r="AK132" s="5"/>
      <c r="AL132" s="5"/>
      <c r="AM132" s="5"/>
      <c r="AN132" s="5"/>
      <c r="AO132" s="5"/>
      <c r="AP132" s="5"/>
      <c r="AQ132" s="5"/>
      <c r="AR132" s="5"/>
      <c r="AS132" s="5"/>
      <c r="AT132" s="5"/>
    </row>
    <row r="133" spans="1:46" ht="12.75" customHeight="1" x14ac:dyDescent="0.2">
      <c r="A133" s="6"/>
      <c r="B133" s="1" t="s">
        <v>126</v>
      </c>
      <c r="C133" s="1"/>
      <c r="D133" s="2"/>
      <c r="E133" s="6" t="s">
        <v>45</v>
      </c>
      <c r="F133" s="3">
        <f>(0.55+0.7)/2</f>
        <v>0.625</v>
      </c>
      <c r="G133" s="3">
        <f>(25+27)/2</f>
        <v>26</v>
      </c>
      <c r="H133" s="3">
        <f>(10.3+11.7)/2</f>
        <v>11</v>
      </c>
      <c r="I133" s="3"/>
      <c r="J133" s="3">
        <f>(12.5+15.6)/2</f>
        <v>14.05</v>
      </c>
      <c r="K133" s="3"/>
      <c r="L133" s="3"/>
      <c r="M133" s="3">
        <f>(77+78.2)/2</f>
        <v>77.599999999999994</v>
      </c>
      <c r="N133" s="3"/>
      <c r="O133" s="4"/>
      <c r="P133" s="4"/>
      <c r="Q133" s="5"/>
      <c r="R133" s="5"/>
      <c r="S133" s="5"/>
      <c r="T133" s="5"/>
      <c r="U133" s="4"/>
      <c r="V133" s="5"/>
      <c r="W133" s="5"/>
      <c r="X133" s="5"/>
      <c r="Y133" s="5"/>
      <c r="Z133" s="5"/>
      <c r="AA133" s="5"/>
      <c r="AB133" s="5"/>
      <c r="AC133" s="5"/>
      <c r="AD133" s="5"/>
      <c r="AE133" s="5"/>
      <c r="AF133" s="5"/>
      <c r="AG133" s="5"/>
      <c r="AH133" s="5"/>
      <c r="AI133" s="5"/>
      <c r="AJ133" s="5"/>
      <c r="AK133" s="5"/>
      <c r="AL133" s="5"/>
      <c r="AM133" s="5"/>
      <c r="AN133" s="5"/>
      <c r="AO133" s="5"/>
      <c r="AP133" s="5"/>
      <c r="AQ133" s="5"/>
      <c r="AR133" s="5"/>
      <c r="AS133" s="5"/>
      <c r="AT133" s="5"/>
    </row>
    <row r="134" spans="1:46" ht="12.75" customHeight="1" x14ac:dyDescent="0.2">
      <c r="A134" s="6"/>
      <c r="B134" s="1" t="s">
        <v>126</v>
      </c>
      <c r="C134" s="1"/>
      <c r="D134" s="2"/>
      <c r="E134" s="6" t="s">
        <v>46</v>
      </c>
      <c r="F134" s="3">
        <f>(0.44+0.49)/2</f>
        <v>0.46499999999999997</v>
      </c>
      <c r="G134" s="3">
        <f>(17+20)/2</f>
        <v>18.5</v>
      </c>
      <c r="H134" s="3">
        <f>(10.8+11.1)/2</f>
        <v>10.95</v>
      </c>
      <c r="I134" s="3"/>
      <c r="J134" s="3">
        <f>(16.7+17)/2</f>
        <v>16.850000000000001</v>
      </c>
      <c r="K134" s="3"/>
      <c r="L134" s="3"/>
      <c r="M134" s="3"/>
      <c r="N134" s="3"/>
      <c r="O134" s="4"/>
      <c r="P134" s="4"/>
      <c r="Q134" s="5"/>
      <c r="R134" s="5"/>
      <c r="S134" s="5"/>
      <c r="T134" s="5"/>
      <c r="U134" s="4"/>
      <c r="V134" s="5"/>
      <c r="W134" s="5"/>
      <c r="X134" s="5"/>
      <c r="Y134" s="5"/>
      <c r="Z134" s="5"/>
      <c r="AA134" s="5"/>
      <c r="AB134" s="5"/>
      <c r="AC134" s="5"/>
      <c r="AD134" s="5"/>
      <c r="AE134" s="5"/>
      <c r="AF134" s="5"/>
      <c r="AG134" s="5"/>
      <c r="AH134" s="5"/>
      <c r="AI134" s="5"/>
      <c r="AJ134" s="5"/>
      <c r="AK134" s="5"/>
      <c r="AL134" s="5"/>
      <c r="AM134" s="5"/>
      <c r="AN134" s="5"/>
      <c r="AO134" s="5"/>
      <c r="AP134" s="5"/>
      <c r="AQ134" s="5"/>
      <c r="AR134" s="5"/>
      <c r="AS134" s="5"/>
      <c r="AT134" s="5"/>
    </row>
    <row r="135" spans="1:46" ht="12.75" customHeight="1" x14ac:dyDescent="0.2">
      <c r="A135" s="6"/>
      <c r="B135" s="1" t="s">
        <v>127</v>
      </c>
      <c r="C135" s="1" t="s">
        <v>128</v>
      </c>
      <c r="D135" s="2"/>
      <c r="E135" s="6" t="s">
        <v>45</v>
      </c>
      <c r="F135" s="3">
        <f>(1.56+1.67)/2</f>
        <v>1.615</v>
      </c>
      <c r="G135" s="3">
        <f>(43+44.5)/2</f>
        <v>43.75</v>
      </c>
      <c r="H135" s="3">
        <f>(15.9+16.4)/2</f>
        <v>16.149999999999999</v>
      </c>
      <c r="I135" s="3"/>
      <c r="J135" s="3">
        <f>(29+31.7)/2</f>
        <v>30.35</v>
      </c>
      <c r="K135" s="3"/>
      <c r="L135" s="3"/>
      <c r="M135" s="3">
        <f>(85.7+86.3)/2</f>
        <v>86</v>
      </c>
      <c r="N135" s="3"/>
      <c r="O135" s="4"/>
      <c r="P135" s="4"/>
      <c r="Q135" s="5"/>
      <c r="R135" s="5"/>
      <c r="S135" s="5"/>
      <c r="T135" s="5"/>
      <c r="U135" s="4"/>
      <c r="V135" s="5"/>
      <c r="W135" s="5"/>
      <c r="X135" s="5"/>
      <c r="Y135" s="5"/>
      <c r="Z135" s="5"/>
      <c r="AA135" s="5"/>
      <c r="AB135" s="5"/>
      <c r="AC135" s="5"/>
      <c r="AD135" s="5"/>
      <c r="AE135" s="5"/>
      <c r="AF135" s="5"/>
      <c r="AG135" s="5"/>
      <c r="AH135" s="5"/>
      <c r="AI135" s="5"/>
      <c r="AJ135" s="5"/>
      <c r="AK135" s="5"/>
      <c r="AL135" s="5"/>
      <c r="AM135" s="5"/>
      <c r="AN135" s="5"/>
      <c r="AO135" s="5"/>
      <c r="AP135" s="5"/>
      <c r="AQ135" s="5"/>
      <c r="AR135" s="5"/>
      <c r="AS135" s="5"/>
      <c r="AT135" s="5"/>
    </row>
    <row r="136" spans="1:46" ht="12.75" customHeight="1" x14ac:dyDescent="0.2">
      <c r="A136" s="6"/>
      <c r="B136" s="1" t="s">
        <v>127</v>
      </c>
      <c r="C136" s="1" t="s">
        <v>128</v>
      </c>
      <c r="D136" s="2"/>
      <c r="E136" s="6" t="s">
        <v>46</v>
      </c>
      <c r="F136" s="3">
        <f>(1.46+1.5)/2</f>
        <v>1.48</v>
      </c>
      <c r="G136" s="3">
        <f>(52+67)/2</f>
        <v>59.5</v>
      </c>
      <c r="H136" s="3">
        <f>(14.3+15.4)/2</f>
        <v>14.850000000000001</v>
      </c>
      <c r="I136" s="3"/>
      <c r="J136" s="3">
        <f>(45+54)/2</f>
        <v>49.5</v>
      </c>
      <c r="K136" s="3"/>
      <c r="L136" s="3"/>
      <c r="M136" s="3"/>
      <c r="N136" s="3"/>
      <c r="O136" s="4"/>
      <c r="P136" s="4"/>
      <c r="Q136" s="5"/>
      <c r="R136" s="5"/>
      <c r="S136" s="5"/>
      <c r="T136" s="5"/>
      <c r="U136" s="4"/>
      <c r="V136" s="5"/>
      <c r="W136" s="5"/>
      <c r="X136" s="5"/>
      <c r="Y136" s="5"/>
      <c r="Z136" s="5"/>
      <c r="AA136" s="5"/>
      <c r="AB136" s="5"/>
      <c r="AC136" s="5"/>
      <c r="AD136" s="5"/>
      <c r="AE136" s="5"/>
      <c r="AF136" s="5"/>
      <c r="AG136" s="5"/>
      <c r="AH136" s="5"/>
      <c r="AI136" s="5"/>
      <c r="AJ136" s="5"/>
      <c r="AK136" s="5"/>
      <c r="AL136" s="5"/>
      <c r="AM136" s="5"/>
      <c r="AN136" s="5"/>
      <c r="AO136" s="5"/>
      <c r="AP136" s="5"/>
      <c r="AQ136" s="5"/>
      <c r="AR136" s="5"/>
      <c r="AS136" s="5"/>
      <c r="AT136" s="5"/>
    </row>
    <row r="137" spans="1:46" ht="12.75" customHeight="1" x14ac:dyDescent="0.2">
      <c r="A137" s="6"/>
      <c r="B137" s="1" t="s">
        <v>129</v>
      </c>
      <c r="C137" s="1"/>
      <c r="D137" s="2"/>
      <c r="E137" s="6" t="s">
        <v>45</v>
      </c>
      <c r="F137" s="3">
        <f>(0.79+1.1)/2</f>
        <v>0.94500000000000006</v>
      </c>
      <c r="G137" s="3">
        <f t="shared" ref="G137:G138" si="3">(30+32)/2</f>
        <v>31</v>
      </c>
      <c r="H137" s="3">
        <f>(12+15)/2</f>
        <v>13.5</v>
      </c>
      <c r="I137" s="3"/>
      <c r="J137" s="3">
        <f>(25+28)/2</f>
        <v>26.5</v>
      </c>
      <c r="K137" s="3"/>
      <c r="L137" s="3"/>
      <c r="M137" s="3">
        <f>(83+84)/2</f>
        <v>83.5</v>
      </c>
      <c r="N137" s="3"/>
      <c r="O137" s="4"/>
      <c r="P137" s="4"/>
      <c r="Q137" s="5"/>
      <c r="R137" s="5"/>
      <c r="S137" s="5"/>
      <c r="T137" s="5"/>
      <c r="U137" s="4"/>
      <c r="V137" s="5"/>
      <c r="W137" s="5"/>
      <c r="X137" s="5"/>
      <c r="Y137" s="5"/>
      <c r="Z137" s="5"/>
      <c r="AA137" s="5"/>
      <c r="AB137" s="5"/>
      <c r="AC137" s="5"/>
      <c r="AD137" s="5"/>
      <c r="AE137" s="5"/>
      <c r="AF137" s="5"/>
      <c r="AG137" s="5"/>
      <c r="AH137" s="5"/>
      <c r="AI137" s="5"/>
      <c r="AJ137" s="5"/>
      <c r="AK137" s="5"/>
      <c r="AL137" s="5"/>
      <c r="AM137" s="5"/>
      <c r="AN137" s="5"/>
      <c r="AO137" s="5"/>
      <c r="AP137" s="5"/>
      <c r="AQ137" s="5"/>
      <c r="AR137" s="5"/>
      <c r="AS137" s="5"/>
      <c r="AT137" s="5"/>
    </row>
    <row r="138" spans="1:46" ht="12.75" customHeight="1" x14ac:dyDescent="0.2">
      <c r="A138" s="6"/>
      <c r="B138" s="1" t="s">
        <v>129</v>
      </c>
      <c r="C138" s="1"/>
      <c r="D138" s="2"/>
      <c r="E138" s="6" t="s">
        <v>46</v>
      </c>
      <c r="F138" s="3">
        <f>(0.57+0.77)/2</f>
        <v>0.66999999999999993</v>
      </c>
      <c r="G138" s="3">
        <f t="shared" si="3"/>
        <v>31</v>
      </c>
      <c r="H138" s="3">
        <f>(9+11)/2</f>
        <v>10</v>
      </c>
      <c r="I138" s="3"/>
      <c r="J138" s="3">
        <f>(27+30)/2</f>
        <v>28.5</v>
      </c>
      <c r="K138" s="3"/>
      <c r="L138" s="3"/>
      <c r="M138" s="3"/>
      <c r="N138" s="3"/>
      <c r="O138" s="4"/>
      <c r="P138" s="4"/>
      <c r="Q138" s="5"/>
      <c r="R138" s="5"/>
      <c r="S138" s="5"/>
      <c r="T138" s="5"/>
      <c r="U138" s="4"/>
      <c r="V138" s="5"/>
      <c r="W138" s="5"/>
      <c r="X138" s="5"/>
      <c r="Y138" s="5"/>
      <c r="Z138" s="5"/>
      <c r="AA138" s="5"/>
      <c r="AB138" s="5"/>
      <c r="AC138" s="5"/>
      <c r="AD138" s="5"/>
      <c r="AE138" s="5"/>
      <c r="AF138" s="5"/>
      <c r="AG138" s="5"/>
      <c r="AH138" s="5"/>
      <c r="AI138" s="5"/>
      <c r="AJ138" s="5"/>
      <c r="AK138" s="5"/>
      <c r="AL138" s="5"/>
      <c r="AM138" s="5"/>
      <c r="AN138" s="5"/>
      <c r="AO138" s="5"/>
      <c r="AP138" s="5"/>
      <c r="AQ138" s="5"/>
      <c r="AR138" s="5"/>
      <c r="AS138" s="5"/>
      <c r="AT138" s="5"/>
    </row>
    <row r="139" spans="1:46" ht="12.75" customHeight="1" x14ac:dyDescent="0.2">
      <c r="A139" s="6"/>
      <c r="B139" s="1" t="s">
        <v>130</v>
      </c>
      <c r="C139" s="1"/>
      <c r="D139" s="2"/>
      <c r="E139" s="6" t="s">
        <v>45</v>
      </c>
      <c r="F139" s="3">
        <f>(0.62+0.68)/2</f>
        <v>0.65</v>
      </c>
      <c r="G139" s="3">
        <v>19.100000000000001</v>
      </c>
      <c r="H139" s="3"/>
      <c r="I139" s="3"/>
      <c r="J139" s="3">
        <v>21.6</v>
      </c>
      <c r="K139" s="3"/>
      <c r="L139" s="3"/>
      <c r="M139" s="3">
        <v>79</v>
      </c>
      <c r="N139" s="3"/>
      <c r="O139" s="4"/>
      <c r="P139" s="4"/>
      <c r="Q139" s="5"/>
      <c r="R139" s="5"/>
      <c r="S139" s="5"/>
      <c r="T139" s="5"/>
      <c r="U139" s="4"/>
      <c r="V139" s="5"/>
      <c r="W139" s="5"/>
      <c r="X139" s="5"/>
      <c r="Y139" s="5"/>
      <c r="Z139" s="5"/>
      <c r="AA139" s="5"/>
      <c r="AB139" s="5"/>
      <c r="AC139" s="5"/>
      <c r="AD139" s="5"/>
      <c r="AE139" s="5"/>
      <c r="AF139" s="5"/>
      <c r="AG139" s="5"/>
      <c r="AH139" s="5"/>
      <c r="AI139" s="5"/>
      <c r="AJ139" s="5"/>
      <c r="AK139" s="5"/>
      <c r="AL139" s="5"/>
      <c r="AM139" s="5"/>
      <c r="AN139" s="5"/>
      <c r="AO139" s="5"/>
      <c r="AP139" s="5"/>
      <c r="AQ139" s="5"/>
      <c r="AR139" s="5"/>
      <c r="AS139" s="5"/>
      <c r="AT139" s="5"/>
    </row>
    <row r="140" spans="1:46" ht="12.75" customHeight="1" x14ac:dyDescent="0.2">
      <c r="A140" s="6"/>
      <c r="B140" s="1" t="s">
        <v>130</v>
      </c>
      <c r="C140" s="1"/>
      <c r="D140" s="2"/>
      <c r="E140" s="6" t="s">
        <v>46</v>
      </c>
      <c r="F140" s="3">
        <f>(0.76+0.8)/2</f>
        <v>0.78</v>
      </c>
      <c r="G140" s="3">
        <v>30.2</v>
      </c>
      <c r="H140" s="3"/>
      <c r="I140" s="3"/>
      <c r="J140" s="3">
        <v>18.600000000000001</v>
      </c>
      <c r="K140" s="3"/>
      <c r="L140" s="3"/>
      <c r="M140" s="3"/>
      <c r="N140" s="3"/>
      <c r="O140" s="4"/>
      <c r="P140" s="4"/>
      <c r="Q140" s="5"/>
      <c r="R140" s="5"/>
      <c r="S140" s="5"/>
      <c r="T140" s="5"/>
      <c r="U140" s="4"/>
      <c r="V140" s="5"/>
      <c r="W140" s="5"/>
      <c r="X140" s="5"/>
      <c r="Y140" s="5"/>
      <c r="Z140" s="5"/>
      <c r="AA140" s="5"/>
      <c r="AB140" s="5"/>
      <c r="AC140" s="5"/>
      <c r="AD140" s="5"/>
      <c r="AE140" s="5"/>
      <c r="AF140" s="5"/>
      <c r="AG140" s="5"/>
      <c r="AH140" s="5"/>
      <c r="AI140" s="5"/>
      <c r="AJ140" s="5"/>
      <c r="AK140" s="5"/>
      <c r="AL140" s="5"/>
      <c r="AM140" s="5"/>
      <c r="AN140" s="5"/>
      <c r="AO140" s="5"/>
      <c r="AP140" s="5"/>
      <c r="AQ140" s="5"/>
      <c r="AR140" s="5"/>
      <c r="AS140" s="5"/>
      <c r="AT140" s="5"/>
    </row>
    <row r="141" spans="1:46" ht="12.75" customHeight="1" x14ac:dyDescent="0.2">
      <c r="A141" s="6"/>
      <c r="B141" s="1" t="s">
        <v>131</v>
      </c>
      <c r="C141" s="1"/>
      <c r="D141" s="2"/>
      <c r="E141" s="6" t="s">
        <v>45</v>
      </c>
      <c r="F141" s="3">
        <f>(0.75+0.78)/2</f>
        <v>0.76500000000000001</v>
      </c>
      <c r="G141" s="3">
        <v>25.7</v>
      </c>
      <c r="H141" s="3"/>
      <c r="I141" s="3"/>
      <c r="J141" s="3">
        <v>18.3</v>
      </c>
      <c r="K141" s="3"/>
      <c r="L141" s="3"/>
      <c r="M141" s="3">
        <v>87</v>
      </c>
      <c r="N141" s="3"/>
      <c r="O141" s="4"/>
      <c r="P141" s="4"/>
      <c r="Q141" s="5"/>
      <c r="R141" s="5"/>
      <c r="S141" s="5"/>
      <c r="T141" s="5"/>
      <c r="U141" s="4"/>
      <c r="V141" s="5"/>
      <c r="W141" s="5"/>
      <c r="X141" s="5"/>
      <c r="Y141" s="5"/>
      <c r="Z141" s="5"/>
      <c r="AA141" s="5"/>
      <c r="AB141" s="5"/>
      <c r="AC141" s="5"/>
      <c r="AD141" s="5"/>
      <c r="AE141" s="5"/>
      <c r="AF141" s="5"/>
      <c r="AG141" s="5"/>
      <c r="AH141" s="5"/>
      <c r="AI141" s="5"/>
      <c r="AJ141" s="5"/>
      <c r="AK141" s="5"/>
      <c r="AL141" s="5"/>
      <c r="AM141" s="5"/>
      <c r="AN141" s="5"/>
      <c r="AO141" s="5"/>
      <c r="AP141" s="5"/>
      <c r="AQ141" s="5"/>
      <c r="AR141" s="5"/>
      <c r="AS141" s="5"/>
      <c r="AT141" s="5"/>
    </row>
    <row r="142" spans="1:46" ht="12.75" customHeight="1" x14ac:dyDescent="0.2">
      <c r="A142" s="1"/>
      <c r="B142" s="1" t="s">
        <v>131</v>
      </c>
      <c r="C142" s="1"/>
      <c r="D142" s="2"/>
      <c r="E142" s="6" t="s">
        <v>46</v>
      </c>
      <c r="F142" s="3">
        <f>(0.62+0.64)/2</f>
        <v>0.63</v>
      </c>
      <c r="G142" s="3">
        <v>24.6</v>
      </c>
      <c r="H142" s="3"/>
      <c r="I142" s="3"/>
      <c r="J142" s="3">
        <v>8.4</v>
      </c>
      <c r="K142" s="3"/>
      <c r="L142" s="3"/>
      <c r="M142" s="3"/>
      <c r="N142" s="3"/>
      <c r="O142" s="4"/>
      <c r="P142" s="4"/>
      <c r="Q142" s="5"/>
      <c r="R142" s="5"/>
      <c r="S142" s="5"/>
      <c r="T142" s="5"/>
      <c r="U142" s="4"/>
      <c r="V142" s="5"/>
      <c r="W142" s="5"/>
      <c r="X142" s="5"/>
      <c r="Y142" s="5"/>
      <c r="Z142" s="5"/>
      <c r="AA142" s="5"/>
      <c r="AB142" s="5"/>
      <c r="AC142" s="5"/>
      <c r="AD142" s="5"/>
      <c r="AE142" s="5"/>
      <c r="AF142" s="5"/>
      <c r="AG142" s="5"/>
      <c r="AH142" s="5"/>
      <c r="AI142" s="5"/>
      <c r="AJ142" s="5"/>
      <c r="AK142" s="5"/>
      <c r="AL142" s="5"/>
      <c r="AM142" s="5"/>
      <c r="AN142" s="5"/>
      <c r="AO142" s="5"/>
      <c r="AP142" s="5"/>
      <c r="AQ142" s="5"/>
      <c r="AR142" s="5"/>
      <c r="AS142" s="5"/>
      <c r="AT142" s="5"/>
    </row>
    <row r="143" spans="1:46" ht="12.75" customHeight="1" x14ac:dyDescent="0.2">
      <c r="A143" s="1"/>
      <c r="B143" s="1" t="s">
        <v>132</v>
      </c>
      <c r="C143" s="1"/>
      <c r="D143" s="2"/>
      <c r="E143" s="6" t="s">
        <v>45</v>
      </c>
      <c r="F143" s="3">
        <f>(0.58+0.82)/2</f>
        <v>0.7</v>
      </c>
      <c r="G143" s="3">
        <f>(22+34)/2</f>
        <v>28</v>
      </c>
      <c r="H143" s="3">
        <f>(4.1+6.6)/2</f>
        <v>5.35</v>
      </c>
      <c r="I143" s="3"/>
      <c r="J143" s="3">
        <f>(13+24)/2</f>
        <v>18.5</v>
      </c>
      <c r="K143" s="3"/>
      <c r="L143" s="3"/>
      <c r="M143" s="3">
        <f>(71+78)/2</f>
        <v>74.5</v>
      </c>
      <c r="N143" s="3"/>
      <c r="O143" s="4"/>
      <c r="P143" s="4"/>
      <c r="Q143" s="5"/>
      <c r="R143" s="5"/>
      <c r="S143" s="5"/>
      <c r="T143" s="5"/>
      <c r="U143" s="4"/>
      <c r="V143" s="5"/>
      <c r="W143" s="5"/>
      <c r="X143" s="5"/>
      <c r="Y143" s="5"/>
      <c r="Z143" s="5"/>
      <c r="AA143" s="5"/>
      <c r="AB143" s="5"/>
      <c r="AC143" s="5"/>
      <c r="AD143" s="5"/>
      <c r="AE143" s="5"/>
      <c r="AF143" s="5"/>
      <c r="AG143" s="5"/>
      <c r="AH143" s="5"/>
      <c r="AI143" s="5"/>
      <c r="AJ143" s="5"/>
      <c r="AK143" s="5"/>
      <c r="AL143" s="5"/>
      <c r="AM143" s="5"/>
      <c r="AN143" s="5"/>
      <c r="AO143" s="5"/>
      <c r="AP143" s="5"/>
      <c r="AQ143" s="5"/>
      <c r="AR143" s="5"/>
      <c r="AS143" s="5"/>
      <c r="AT143" s="5"/>
    </row>
    <row r="144" spans="1:46" ht="12.75" customHeight="1" x14ac:dyDescent="0.2">
      <c r="A144" s="1"/>
      <c r="B144" s="1" t="s">
        <v>132</v>
      </c>
      <c r="C144" s="1"/>
      <c r="D144" s="2"/>
      <c r="E144" s="6" t="s">
        <v>46</v>
      </c>
      <c r="F144" s="3">
        <f>(0.56+0.82)/2</f>
        <v>0.69</v>
      </c>
      <c r="G144" s="3">
        <f>(23+32)/2</f>
        <v>27.5</v>
      </c>
      <c r="H144" s="3">
        <f>(3.9+5.9)/2</f>
        <v>4.9000000000000004</v>
      </c>
      <c r="I144" s="3"/>
      <c r="J144" s="3">
        <f>(14+30)/2</f>
        <v>22</v>
      </c>
      <c r="K144" s="3"/>
      <c r="L144" s="3"/>
      <c r="M144" s="3"/>
      <c r="N144" s="3"/>
      <c r="O144" s="4"/>
      <c r="P144" s="4"/>
      <c r="Q144" s="5"/>
      <c r="R144" s="5"/>
      <c r="S144" s="5"/>
      <c r="T144" s="5"/>
      <c r="U144" s="4"/>
      <c r="V144" s="5"/>
      <c r="W144" s="5"/>
      <c r="X144" s="5"/>
      <c r="Y144" s="5"/>
      <c r="Z144" s="5"/>
      <c r="AA144" s="5"/>
      <c r="AB144" s="5"/>
      <c r="AC144" s="5"/>
      <c r="AD144" s="5"/>
      <c r="AE144" s="5"/>
      <c r="AF144" s="5"/>
      <c r="AG144" s="5"/>
      <c r="AH144" s="5"/>
      <c r="AI144" s="5"/>
      <c r="AJ144" s="5"/>
      <c r="AK144" s="5"/>
      <c r="AL144" s="5"/>
      <c r="AM144" s="5"/>
      <c r="AN144" s="5"/>
      <c r="AO144" s="5"/>
      <c r="AP144" s="5"/>
      <c r="AQ144" s="5"/>
      <c r="AR144" s="5"/>
      <c r="AS144" s="5"/>
      <c r="AT144" s="5"/>
    </row>
    <row r="145" spans="1:46" ht="12.75" customHeight="1" x14ac:dyDescent="0.2">
      <c r="A145" s="1"/>
      <c r="B145" s="1" t="s">
        <v>133</v>
      </c>
      <c r="C145" s="1"/>
      <c r="D145" s="2"/>
      <c r="E145" s="6" t="s">
        <v>45</v>
      </c>
      <c r="F145" s="3">
        <f>(0.74+0.8)/2</f>
        <v>0.77</v>
      </c>
      <c r="G145" s="3">
        <f>(27+33)/2</f>
        <v>30</v>
      </c>
      <c r="H145" s="3">
        <f>(5.9+6.7)/2</f>
        <v>6.3000000000000007</v>
      </c>
      <c r="I145" s="3"/>
      <c r="J145" s="3">
        <f>(28+37)/2</f>
        <v>32.5</v>
      </c>
      <c r="K145" s="3"/>
      <c r="L145" s="3"/>
      <c r="M145" s="3">
        <f>(73+77)/2</f>
        <v>75</v>
      </c>
      <c r="N145" s="3"/>
      <c r="O145" s="4"/>
      <c r="P145" s="4"/>
      <c r="Q145" s="5"/>
      <c r="R145" s="5"/>
      <c r="S145" s="5"/>
      <c r="T145" s="5"/>
      <c r="U145" s="4"/>
      <c r="V145" s="5"/>
      <c r="W145" s="5"/>
      <c r="X145" s="5"/>
      <c r="Y145" s="5"/>
      <c r="Z145" s="5"/>
      <c r="AA145" s="5"/>
      <c r="AB145" s="5"/>
      <c r="AC145" s="5"/>
      <c r="AD145" s="5"/>
      <c r="AE145" s="5"/>
      <c r="AF145" s="5"/>
      <c r="AG145" s="5"/>
      <c r="AH145" s="5"/>
      <c r="AI145" s="5"/>
      <c r="AJ145" s="5"/>
      <c r="AK145" s="5"/>
      <c r="AL145" s="5"/>
      <c r="AM145" s="5"/>
      <c r="AN145" s="5"/>
      <c r="AO145" s="5"/>
      <c r="AP145" s="5"/>
      <c r="AQ145" s="5"/>
      <c r="AR145" s="5"/>
      <c r="AS145" s="5"/>
      <c r="AT145" s="5"/>
    </row>
    <row r="146" spans="1:46" ht="12.75" customHeight="1" x14ac:dyDescent="0.2">
      <c r="A146" s="1"/>
      <c r="B146" s="1" t="s">
        <v>134</v>
      </c>
      <c r="C146" s="1"/>
      <c r="D146" s="2"/>
      <c r="E146" s="6" t="s">
        <v>45</v>
      </c>
      <c r="F146" s="3">
        <v>0.68</v>
      </c>
      <c r="G146" s="3">
        <v>28.7</v>
      </c>
      <c r="H146" s="3">
        <v>5.9</v>
      </c>
      <c r="I146" s="3"/>
      <c r="J146" s="3">
        <v>23</v>
      </c>
      <c r="K146" s="3"/>
      <c r="L146" s="3"/>
      <c r="M146" s="3">
        <v>76</v>
      </c>
      <c r="N146" s="3"/>
      <c r="O146" s="4"/>
      <c r="P146" s="4"/>
      <c r="Q146" s="5"/>
      <c r="R146" s="5"/>
      <c r="S146" s="5"/>
      <c r="T146" s="5"/>
      <c r="U146" s="4"/>
      <c r="V146" s="5"/>
      <c r="W146" s="5"/>
      <c r="X146" s="5"/>
      <c r="Y146" s="5"/>
      <c r="Z146" s="5"/>
      <c r="AA146" s="5"/>
      <c r="AB146" s="5"/>
      <c r="AC146" s="5"/>
      <c r="AD146" s="5"/>
      <c r="AE146" s="5"/>
      <c r="AF146" s="5"/>
      <c r="AG146" s="5"/>
      <c r="AH146" s="5"/>
      <c r="AI146" s="5"/>
      <c r="AJ146" s="5"/>
      <c r="AK146" s="5"/>
      <c r="AL146" s="5"/>
      <c r="AM146" s="5"/>
      <c r="AN146" s="5"/>
      <c r="AO146" s="5"/>
      <c r="AP146" s="5"/>
      <c r="AQ146" s="5"/>
      <c r="AR146" s="5"/>
      <c r="AS146" s="5"/>
      <c r="AT146" s="5"/>
    </row>
    <row r="147" spans="1:46" ht="12.75" customHeight="1" x14ac:dyDescent="0.2">
      <c r="A147" s="1"/>
      <c r="B147" s="1" t="s">
        <v>135</v>
      </c>
      <c r="C147" s="1" t="s">
        <v>136</v>
      </c>
      <c r="D147" s="2"/>
      <c r="E147" s="6" t="s">
        <v>45</v>
      </c>
      <c r="F147" s="3">
        <f>(1.51+1.85)/2</f>
        <v>1.6800000000000002</v>
      </c>
      <c r="G147" s="3">
        <f>(45+50)/2</f>
        <v>47.5</v>
      </c>
      <c r="H147" s="3">
        <f>(6.6+7.6)/2</f>
        <v>7.1</v>
      </c>
      <c r="I147" s="3"/>
      <c r="J147" s="3">
        <f>(7+7.6)/2</f>
        <v>7.3</v>
      </c>
      <c r="K147" s="3"/>
      <c r="L147" s="3"/>
      <c r="M147" s="3">
        <f>(49+55)/2</f>
        <v>52</v>
      </c>
      <c r="N147" s="3"/>
      <c r="O147" s="4"/>
      <c r="P147" s="4"/>
      <c r="Q147" s="5"/>
      <c r="R147" s="5"/>
      <c r="S147" s="5"/>
      <c r="T147" s="5"/>
      <c r="U147" s="4"/>
      <c r="V147" s="5"/>
      <c r="W147" s="5"/>
      <c r="X147" s="5"/>
      <c r="Y147" s="5"/>
      <c r="Z147" s="5"/>
      <c r="AA147" s="5"/>
      <c r="AB147" s="5"/>
      <c r="AC147" s="5"/>
      <c r="AD147" s="5"/>
      <c r="AE147" s="5"/>
      <c r="AF147" s="5"/>
      <c r="AG147" s="5"/>
      <c r="AH147" s="5"/>
      <c r="AI147" s="5"/>
      <c r="AJ147" s="5"/>
      <c r="AK147" s="5"/>
      <c r="AL147" s="5"/>
      <c r="AM147" s="5"/>
      <c r="AN147" s="5"/>
      <c r="AO147" s="5"/>
      <c r="AP147" s="5"/>
      <c r="AQ147" s="5"/>
      <c r="AR147" s="5"/>
      <c r="AS147" s="5"/>
      <c r="AT147" s="5"/>
    </row>
    <row r="148" spans="1:46" ht="12.75" customHeight="1" x14ac:dyDescent="0.2">
      <c r="A148" s="1"/>
      <c r="B148" s="1" t="s">
        <v>135</v>
      </c>
      <c r="C148" s="1" t="s">
        <v>136</v>
      </c>
      <c r="D148" s="2"/>
      <c r="E148" s="6" t="s">
        <v>46</v>
      </c>
      <c r="F148" s="3">
        <f>(1.32+1.68)/2</f>
        <v>1.5</v>
      </c>
      <c r="G148" s="3">
        <f>(53+62)/2</f>
        <v>57.5</v>
      </c>
      <c r="H148" s="3">
        <f>(6.6+7.5)/2</f>
        <v>7.05</v>
      </c>
      <c r="I148" s="3"/>
      <c r="J148" s="3">
        <v>8</v>
      </c>
      <c r="K148" s="3"/>
      <c r="L148" s="3"/>
      <c r="M148" s="3"/>
      <c r="N148" s="3"/>
      <c r="O148" s="4"/>
      <c r="P148" s="4"/>
      <c r="Q148" s="5"/>
      <c r="R148" s="5"/>
      <c r="S148" s="5"/>
      <c r="T148" s="5"/>
      <c r="U148" s="4"/>
      <c r="V148" s="5"/>
      <c r="W148" s="5"/>
      <c r="X148" s="5"/>
      <c r="Y148" s="5"/>
      <c r="Z148" s="5"/>
      <c r="AA148" s="5"/>
      <c r="AB148" s="5"/>
      <c r="AC148" s="5"/>
      <c r="AD148" s="5"/>
      <c r="AE148" s="5"/>
      <c r="AF148" s="5"/>
      <c r="AG148" s="5"/>
      <c r="AH148" s="5"/>
      <c r="AI148" s="5"/>
      <c r="AJ148" s="5"/>
      <c r="AK148" s="5"/>
      <c r="AL148" s="5"/>
      <c r="AM148" s="5"/>
      <c r="AN148" s="5"/>
      <c r="AO148" s="5"/>
      <c r="AP148" s="5"/>
      <c r="AQ148" s="5"/>
      <c r="AR148" s="5"/>
      <c r="AS148" s="5"/>
      <c r="AT148" s="5"/>
    </row>
    <row r="149" spans="1:46" ht="12.75" customHeight="1" x14ac:dyDescent="0.2">
      <c r="A149" s="1"/>
      <c r="B149" s="1" t="s">
        <v>137</v>
      </c>
      <c r="C149" s="1"/>
      <c r="D149" s="2"/>
      <c r="E149" s="6" t="s">
        <v>45</v>
      </c>
      <c r="F149" s="3">
        <f>(1.35+1.39)/2</f>
        <v>1.37</v>
      </c>
      <c r="G149" s="3">
        <f>(27+28)/2</f>
        <v>27.5</v>
      </c>
      <c r="H149" s="3">
        <v>7.3</v>
      </c>
      <c r="I149" s="3"/>
      <c r="J149" s="3">
        <f>(3.6+4.2)/2</f>
        <v>3.9000000000000004</v>
      </c>
      <c r="K149" s="3"/>
      <c r="L149" s="3"/>
      <c r="M149" s="3">
        <f>(73+77)/2</f>
        <v>75</v>
      </c>
      <c r="N149" s="3"/>
      <c r="O149" s="4"/>
      <c r="P149" s="4"/>
      <c r="Q149" s="5"/>
      <c r="R149" s="5"/>
      <c r="S149" s="5"/>
      <c r="T149" s="5"/>
      <c r="U149" s="4"/>
      <c r="V149" s="5"/>
      <c r="W149" s="5"/>
      <c r="X149" s="5"/>
      <c r="Y149" s="5"/>
      <c r="Z149" s="5"/>
      <c r="AA149" s="5"/>
      <c r="AB149" s="5"/>
      <c r="AC149" s="5"/>
      <c r="AD149" s="5"/>
      <c r="AE149" s="5"/>
      <c r="AF149" s="5"/>
      <c r="AG149" s="5"/>
      <c r="AH149" s="5"/>
      <c r="AI149" s="5"/>
      <c r="AJ149" s="5"/>
      <c r="AK149" s="5"/>
      <c r="AL149" s="5"/>
      <c r="AM149" s="5"/>
      <c r="AN149" s="5"/>
      <c r="AO149" s="5"/>
      <c r="AP149" s="5"/>
      <c r="AQ149" s="5"/>
      <c r="AR149" s="5"/>
      <c r="AS149" s="5"/>
      <c r="AT149" s="5"/>
    </row>
    <row r="150" spans="1:46" ht="12.75" customHeight="1" x14ac:dyDescent="0.2">
      <c r="A150" s="1"/>
      <c r="B150" s="1" t="s">
        <v>137</v>
      </c>
      <c r="C150" s="1"/>
      <c r="D150" s="2"/>
      <c r="E150" s="6" t="s">
        <v>46</v>
      </c>
      <c r="F150" s="3">
        <f>(1+1.07)/2</f>
        <v>1.0350000000000001</v>
      </c>
      <c r="G150" s="3">
        <v>36</v>
      </c>
      <c r="H150" s="3">
        <v>8.1999999999999993</v>
      </c>
      <c r="I150" s="3"/>
      <c r="J150" s="3">
        <v>7.1</v>
      </c>
      <c r="K150" s="3"/>
      <c r="L150" s="3"/>
      <c r="M150" s="3"/>
      <c r="N150" s="3"/>
      <c r="O150" s="4"/>
      <c r="P150" s="4"/>
      <c r="Q150" s="5">
        <v>55</v>
      </c>
      <c r="R150" s="5">
        <v>21</v>
      </c>
      <c r="S150" s="5"/>
      <c r="T150" s="5"/>
      <c r="U150" s="4"/>
      <c r="V150" s="5"/>
      <c r="W150" s="5"/>
      <c r="X150" s="5"/>
      <c r="Y150" s="5"/>
      <c r="Z150" s="5"/>
      <c r="AA150" s="5"/>
      <c r="AB150" s="5"/>
      <c r="AC150" s="5"/>
      <c r="AD150" s="5"/>
      <c r="AE150" s="5"/>
      <c r="AF150" s="5"/>
      <c r="AG150" s="5"/>
      <c r="AH150" s="5"/>
      <c r="AI150" s="5"/>
      <c r="AJ150" s="5"/>
      <c r="AK150" s="5"/>
      <c r="AL150" s="5"/>
      <c r="AM150" s="5"/>
      <c r="AN150" s="5"/>
      <c r="AO150" s="5"/>
      <c r="AP150" s="5"/>
      <c r="AQ150" s="5"/>
      <c r="AR150" s="5"/>
      <c r="AS150" s="5"/>
      <c r="AT150" s="5"/>
    </row>
    <row r="151" spans="1:46" ht="12.75" customHeight="1" x14ac:dyDescent="0.2">
      <c r="A151" s="1"/>
      <c r="B151" s="1" t="s">
        <v>138</v>
      </c>
      <c r="C151" s="1" t="s">
        <v>139</v>
      </c>
      <c r="D151" s="2"/>
      <c r="E151" s="6" t="s">
        <v>45</v>
      </c>
      <c r="F151" s="3">
        <f>(1.05+1.27)/2</f>
        <v>1.1600000000000001</v>
      </c>
      <c r="G151" s="3">
        <f>(25+26)/2</f>
        <v>25.5</v>
      </c>
      <c r="H151" s="3">
        <f>(6.2+6.3)/2</f>
        <v>6.25</v>
      </c>
      <c r="I151" s="3"/>
      <c r="J151" s="3">
        <v>11</v>
      </c>
      <c r="K151" s="3"/>
      <c r="L151" s="3"/>
      <c r="M151" s="3">
        <f>(52+53)/2</f>
        <v>52.5</v>
      </c>
      <c r="N151" s="3"/>
      <c r="O151" s="4"/>
      <c r="P151" s="4"/>
      <c r="Q151" s="5"/>
      <c r="R151" s="5"/>
      <c r="S151" s="5"/>
      <c r="T151" s="5"/>
      <c r="U151" s="4"/>
      <c r="V151" s="5"/>
      <c r="W151" s="5"/>
      <c r="X151" s="5"/>
      <c r="Y151" s="5"/>
      <c r="Z151" s="5"/>
      <c r="AA151" s="5"/>
      <c r="AB151" s="5"/>
      <c r="AC151" s="5"/>
      <c r="AD151" s="5"/>
      <c r="AE151" s="5"/>
      <c r="AF151" s="5"/>
      <c r="AG151" s="5"/>
      <c r="AH151" s="5"/>
      <c r="AI151" s="5"/>
      <c r="AJ151" s="5"/>
      <c r="AK151" s="5"/>
      <c r="AL151" s="5"/>
      <c r="AM151" s="5"/>
      <c r="AN151" s="5"/>
      <c r="AO151" s="5"/>
      <c r="AP151" s="5"/>
      <c r="AQ151" s="5"/>
      <c r="AR151" s="5"/>
      <c r="AS151" s="5"/>
      <c r="AT151" s="5"/>
    </row>
    <row r="152" spans="1:46" ht="12.75" customHeight="1" x14ac:dyDescent="0.2">
      <c r="A152" s="1"/>
      <c r="B152" s="1" t="s">
        <v>138</v>
      </c>
      <c r="C152" s="1" t="s">
        <v>139</v>
      </c>
      <c r="D152" s="2"/>
      <c r="E152" s="6" t="s">
        <v>46</v>
      </c>
      <c r="F152" s="3">
        <f>(0.9+1.07)/2</f>
        <v>0.9850000000000001</v>
      </c>
      <c r="G152" s="3">
        <f>(24+26)/2</f>
        <v>25</v>
      </c>
      <c r="H152" s="3">
        <f>(5.4+5.8)/2</f>
        <v>5.6</v>
      </c>
      <c r="I152" s="3"/>
      <c r="J152" s="3">
        <v>15</v>
      </c>
      <c r="K152" s="3"/>
      <c r="L152" s="3"/>
      <c r="M152" s="3"/>
      <c r="N152" s="3"/>
      <c r="O152" s="4"/>
      <c r="P152" s="4"/>
      <c r="Q152" s="5"/>
      <c r="R152" s="5"/>
      <c r="S152" s="5"/>
      <c r="T152" s="5"/>
      <c r="U152" s="4"/>
      <c r="V152" s="5"/>
      <c r="W152" s="5"/>
      <c r="X152" s="5"/>
      <c r="Y152" s="5"/>
      <c r="Z152" s="5"/>
      <c r="AA152" s="5"/>
      <c r="AB152" s="5"/>
      <c r="AC152" s="5"/>
      <c r="AD152" s="5"/>
      <c r="AE152" s="5"/>
      <c r="AF152" s="5"/>
      <c r="AG152" s="5"/>
      <c r="AH152" s="5"/>
      <c r="AI152" s="5"/>
      <c r="AJ152" s="5"/>
      <c r="AK152" s="5"/>
      <c r="AL152" s="5"/>
      <c r="AM152" s="5"/>
      <c r="AN152" s="5"/>
      <c r="AO152" s="5"/>
      <c r="AP152" s="5"/>
      <c r="AQ152" s="5"/>
      <c r="AR152" s="5"/>
      <c r="AS152" s="5"/>
      <c r="AT152" s="5"/>
    </row>
    <row r="153" spans="1:46" ht="12.75" customHeight="1" x14ac:dyDescent="0.2">
      <c r="A153" s="1"/>
      <c r="B153" s="1" t="s">
        <v>140</v>
      </c>
      <c r="C153" s="1" t="s">
        <v>141</v>
      </c>
      <c r="D153" s="2"/>
      <c r="E153" s="6" t="s">
        <v>45</v>
      </c>
      <c r="F153" s="3">
        <f>(0.81+1.46)/2</f>
        <v>1.135</v>
      </c>
      <c r="G153" s="3">
        <f>(20+24)/2</f>
        <v>22</v>
      </c>
      <c r="H153" s="3">
        <f>(4.6+6.8)/2</f>
        <v>5.6999999999999993</v>
      </c>
      <c r="I153" s="3"/>
      <c r="J153" s="3">
        <f>(3.6+4.8)/2</f>
        <v>4.2</v>
      </c>
      <c r="K153" s="3"/>
      <c r="L153" s="3"/>
      <c r="M153" s="3">
        <f>(42+47)/2</f>
        <v>44.5</v>
      </c>
      <c r="N153" s="3"/>
      <c r="O153" s="4"/>
      <c r="P153" s="4"/>
      <c r="Q153" s="5"/>
      <c r="R153" s="5"/>
      <c r="S153" s="5"/>
      <c r="T153" s="5"/>
      <c r="U153" s="4"/>
      <c r="V153" s="5"/>
      <c r="W153" s="5"/>
      <c r="X153" s="5"/>
      <c r="Y153" s="5"/>
      <c r="Z153" s="5"/>
      <c r="AA153" s="5"/>
      <c r="AB153" s="5"/>
      <c r="AC153" s="5"/>
      <c r="AD153" s="5"/>
      <c r="AE153" s="5"/>
      <c r="AF153" s="5"/>
      <c r="AG153" s="5"/>
      <c r="AH153" s="5"/>
      <c r="AI153" s="5"/>
      <c r="AJ153" s="5"/>
      <c r="AK153" s="5"/>
      <c r="AL153" s="5"/>
      <c r="AM153" s="5"/>
      <c r="AN153" s="5"/>
      <c r="AO153" s="5"/>
      <c r="AP153" s="5"/>
      <c r="AQ153" s="5"/>
      <c r="AR153" s="5"/>
      <c r="AS153" s="5"/>
      <c r="AT153" s="5"/>
    </row>
    <row r="154" spans="1:46" ht="12.75" customHeight="1" x14ac:dyDescent="0.2">
      <c r="A154" s="1"/>
      <c r="B154" s="1" t="s">
        <v>140</v>
      </c>
      <c r="C154" s="1" t="s">
        <v>141</v>
      </c>
      <c r="D154" s="2"/>
      <c r="E154" s="6" t="s">
        <v>46</v>
      </c>
      <c r="F154" s="3">
        <f>(0.66+1.05)/2</f>
        <v>0.85499999999999998</v>
      </c>
      <c r="G154" s="3">
        <f>(19+22)/2</f>
        <v>20.5</v>
      </c>
      <c r="H154" s="3">
        <f>(3.9+5.6)/2</f>
        <v>4.75</v>
      </c>
      <c r="I154" s="3"/>
      <c r="J154" s="3">
        <f>(11+14)/2</f>
        <v>12.5</v>
      </c>
      <c r="K154" s="3"/>
      <c r="L154" s="3"/>
      <c r="M154" s="3"/>
      <c r="N154" s="3"/>
      <c r="O154" s="4"/>
      <c r="P154" s="4"/>
      <c r="Q154" s="5"/>
      <c r="R154" s="5"/>
      <c r="S154" s="5"/>
      <c r="T154" s="5"/>
      <c r="U154" s="4"/>
      <c r="V154" s="5"/>
      <c r="W154" s="5"/>
      <c r="X154" s="5"/>
      <c r="Y154" s="5"/>
      <c r="Z154" s="5"/>
      <c r="AA154" s="5"/>
      <c r="AB154" s="5"/>
      <c r="AC154" s="5"/>
      <c r="AD154" s="5"/>
      <c r="AE154" s="5"/>
      <c r="AF154" s="5"/>
      <c r="AG154" s="5"/>
      <c r="AH154" s="5"/>
      <c r="AI154" s="5"/>
      <c r="AJ154" s="5"/>
      <c r="AK154" s="5"/>
      <c r="AL154" s="5"/>
      <c r="AM154" s="5"/>
      <c r="AN154" s="5"/>
      <c r="AO154" s="5"/>
      <c r="AP154" s="5"/>
      <c r="AQ154" s="5"/>
      <c r="AR154" s="5"/>
      <c r="AS154" s="5"/>
      <c r="AT154" s="5"/>
    </row>
    <row r="155" spans="1:46" ht="12.75" customHeight="1" x14ac:dyDescent="0.2">
      <c r="A155" s="1"/>
      <c r="B155" s="1" t="s">
        <v>142</v>
      </c>
      <c r="C155" s="1" t="s">
        <v>143</v>
      </c>
      <c r="D155" s="2"/>
      <c r="E155" s="6" t="s">
        <v>45</v>
      </c>
      <c r="F155" s="3">
        <f>(0.86+1.03)/2</f>
        <v>0.94500000000000006</v>
      </c>
      <c r="G155" s="3">
        <f>(16+19)/2</f>
        <v>17.5</v>
      </c>
      <c r="H155" s="3">
        <f>(7+8.2)/2</f>
        <v>7.6</v>
      </c>
      <c r="I155" s="3"/>
      <c r="J155" s="3">
        <f>(5.4+6.6)/2</f>
        <v>6</v>
      </c>
      <c r="K155" s="3"/>
      <c r="L155" s="3"/>
      <c r="M155" s="3">
        <f>(68+73)/2</f>
        <v>70.5</v>
      </c>
      <c r="N155" s="3"/>
      <c r="O155" s="4"/>
      <c r="P155" s="4"/>
      <c r="Q155" s="5"/>
      <c r="R155" s="5"/>
      <c r="S155" s="5"/>
      <c r="T155" s="5"/>
      <c r="U155" s="4"/>
      <c r="V155" s="5"/>
      <c r="W155" s="5"/>
      <c r="X155" s="5"/>
      <c r="Y155" s="5"/>
      <c r="Z155" s="5"/>
      <c r="AA155" s="5"/>
      <c r="AB155" s="5"/>
      <c r="AC155" s="5"/>
      <c r="AD155" s="5"/>
      <c r="AE155" s="5"/>
      <c r="AF155" s="5"/>
      <c r="AG155" s="5"/>
      <c r="AH155" s="5"/>
      <c r="AI155" s="5"/>
      <c r="AJ155" s="5"/>
      <c r="AK155" s="5"/>
      <c r="AL155" s="5"/>
      <c r="AM155" s="5"/>
      <c r="AN155" s="5"/>
      <c r="AO155" s="5"/>
      <c r="AP155" s="5"/>
      <c r="AQ155" s="5"/>
      <c r="AR155" s="5"/>
      <c r="AS155" s="5"/>
      <c r="AT155" s="5"/>
    </row>
    <row r="156" spans="1:46" ht="12.75" customHeight="1" x14ac:dyDescent="0.2">
      <c r="A156" s="1"/>
      <c r="B156" s="1" t="s">
        <v>142</v>
      </c>
      <c r="C156" s="1" t="s">
        <v>143</v>
      </c>
      <c r="D156" s="2"/>
      <c r="E156" s="6" t="s">
        <v>46</v>
      </c>
      <c r="F156" s="3">
        <f>(0.79+0.89)/2</f>
        <v>0.84000000000000008</v>
      </c>
      <c r="G156" s="3">
        <f>(17+20)/2</f>
        <v>18.5</v>
      </c>
      <c r="H156" s="3">
        <f>(6.7+8.2)/2</f>
        <v>7.4499999999999993</v>
      </c>
      <c r="I156" s="3"/>
      <c r="J156" s="3">
        <f>(9+12)/2</f>
        <v>10.5</v>
      </c>
      <c r="K156" s="3"/>
      <c r="L156" s="3"/>
      <c r="M156" s="3"/>
      <c r="N156" s="3"/>
      <c r="O156" s="4"/>
      <c r="P156" s="4"/>
      <c r="Q156" s="5"/>
      <c r="R156" s="5"/>
      <c r="S156" s="5"/>
      <c r="T156" s="5"/>
      <c r="U156" s="4"/>
      <c r="V156" s="5"/>
      <c r="W156" s="5"/>
      <c r="X156" s="5"/>
      <c r="Y156" s="5"/>
      <c r="Z156" s="5"/>
      <c r="AA156" s="5"/>
      <c r="AB156" s="5"/>
      <c r="AC156" s="5"/>
      <c r="AD156" s="5"/>
      <c r="AE156" s="5"/>
      <c r="AF156" s="5"/>
      <c r="AG156" s="5"/>
      <c r="AH156" s="5"/>
      <c r="AI156" s="5"/>
      <c r="AJ156" s="5"/>
      <c r="AK156" s="5"/>
      <c r="AL156" s="5"/>
      <c r="AM156" s="5"/>
      <c r="AN156" s="5"/>
      <c r="AO156" s="5"/>
      <c r="AP156" s="5"/>
      <c r="AQ156" s="5"/>
      <c r="AR156" s="5"/>
      <c r="AS156" s="5"/>
      <c r="AT156" s="5"/>
    </row>
    <row r="157" spans="1:46" ht="12.75" customHeight="1" x14ac:dyDescent="0.2">
      <c r="A157" s="1"/>
      <c r="B157" s="1" t="s">
        <v>144</v>
      </c>
      <c r="C157" s="1" t="s">
        <v>145</v>
      </c>
      <c r="D157" s="2"/>
      <c r="E157" s="6" t="s">
        <v>45</v>
      </c>
      <c r="F157" s="3">
        <f>(0.54+1.26)/2</f>
        <v>0.9</v>
      </c>
      <c r="G157" s="3">
        <f>(21+27)/2</f>
        <v>24</v>
      </c>
      <c r="H157" s="3">
        <f>(5.4+8.8)/2</f>
        <v>7.1000000000000005</v>
      </c>
      <c r="I157" s="3"/>
      <c r="J157" s="3">
        <f>(2.9+3.3)/2</f>
        <v>3.0999999999999996</v>
      </c>
      <c r="K157" s="3"/>
      <c r="L157" s="3"/>
      <c r="M157" s="3">
        <f>(39+41)/2</f>
        <v>40</v>
      </c>
      <c r="N157" s="3"/>
      <c r="O157" s="4"/>
      <c r="P157" s="4"/>
      <c r="Q157" s="5"/>
      <c r="R157" s="5"/>
      <c r="S157" s="5"/>
      <c r="T157" s="5"/>
      <c r="U157" s="4"/>
      <c r="V157" s="5"/>
      <c r="W157" s="5"/>
      <c r="X157" s="5"/>
      <c r="Y157" s="5"/>
      <c r="Z157" s="5"/>
      <c r="AA157" s="5"/>
      <c r="AB157" s="5"/>
      <c r="AC157" s="5"/>
      <c r="AD157" s="5"/>
      <c r="AE157" s="5"/>
      <c r="AF157" s="5"/>
      <c r="AG157" s="5"/>
      <c r="AH157" s="5"/>
      <c r="AI157" s="5"/>
      <c r="AJ157" s="5"/>
      <c r="AK157" s="5"/>
      <c r="AL157" s="5"/>
      <c r="AM157" s="5"/>
      <c r="AN157" s="5"/>
      <c r="AO157" s="5"/>
      <c r="AP157" s="5"/>
      <c r="AQ157" s="5"/>
      <c r="AR157" s="5"/>
      <c r="AS157" s="5"/>
      <c r="AT157" s="5"/>
    </row>
    <row r="158" spans="1:46" ht="12.75" customHeight="1" x14ac:dyDescent="0.2">
      <c r="A158" s="1"/>
      <c r="B158" s="1" t="s">
        <v>144</v>
      </c>
      <c r="C158" s="1" t="s">
        <v>145</v>
      </c>
      <c r="D158" s="2"/>
      <c r="E158" s="6" t="s">
        <v>46</v>
      </c>
      <c r="F158" s="3">
        <f>(0.47+0.92)/2</f>
        <v>0.69500000000000006</v>
      </c>
      <c r="G158" s="3">
        <f>(22+31)/2</f>
        <v>26.5</v>
      </c>
      <c r="H158" s="3">
        <f>(5.9+7.6)/2</f>
        <v>6.75</v>
      </c>
      <c r="I158" s="3"/>
      <c r="J158" s="3">
        <f>(3.3+5.6)/2</f>
        <v>4.4499999999999993</v>
      </c>
      <c r="K158" s="3"/>
      <c r="L158" s="3"/>
      <c r="M158" s="3"/>
      <c r="N158" s="3"/>
      <c r="O158" s="4"/>
      <c r="P158" s="4"/>
      <c r="Q158" s="5"/>
      <c r="R158" s="5"/>
      <c r="S158" s="5"/>
      <c r="T158" s="5"/>
      <c r="U158" s="4"/>
      <c r="V158" s="5"/>
      <c r="W158" s="5"/>
      <c r="X158" s="5"/>
      <c r="Y158" s="5"/>
      <c r="Z158" s="5"/>
      <c r="AA158" s="5"/>
      <c r="AB158" s="5"/>
      <c r="AC158" s="5"/>
      <c r="AD158" s="5"/>
      <c r="AE158" s="5"/>
      <c r="AF158" s="5"/>
      <c r="AG158" s="5"/>
      <c r="AH158" s="5"/>
      <c r="AI158" s="5"/>
      <c r="AJ158" s="5"/>
      <c r="AK158" s="5"/>
      <c r="AL158" s="5"/>
      <c r="AM158" s="5"/>
      <c r="AN158" s="5"/>
      <c r="AO158" s="5"/>
      <c r="AP158" s="5"/>
      <c r="AQ158" s="5"/>
      <c r="AR158" s="5"/>
      <c r="AS158" s="5"/>
      <c r="AT158" s="5"/>
    </row>
    <row r="159" spans="1:46" ht="12.75" customHeight="1" x14ac:dyDescent="0.2">
      <c r="A159" s="1"/>
      <c r="B159" s="1" t="s">
        <v>146</v>
      </c>
      <c r="C159" s="1" t="s">
        <v>147</v>
      </c>
      <c r="D159" s="2"/>
      <c r="E159" s="6" t="s">
        <v>45</v>
      </c>
      <c r="F159" s="3">
        <f>(1+1.7)/2</f>
        <v>1.35</v>
      </c>
      <c r="G159" s="3">
        <f>(27+41)/2</f>
        <v>34</v>
      </c>
      <c r="H159" s="3">
        <f>(4.7+5.8)/2</f>
        <v>5.25</v>
      </c>
      <c r="I159" s="3"/>
      <c r="J159" s="3">
        <f>(2.8+4.1)/2</f>
        <v>3.4499999999999997</v>
      </c>
      <c r="K159" s="3"/>
      <c r="L159" s="3"/>
      <c r="M159" s="3">
        <f>(46+58)/2</f>
        <v>52</v>
      </c>
      <c r="N159" s="3"/>
      <c r="O159" s="4"/>
      <c r="P159" s="4"/>
      <c r="Q159" s="5"/>
      <c r="R159" s="5"/>
      <c r="S159" s="5"/>
      <c r="T159" s="5"/>
      <c r="U159" s="4"/>
      <c r="V159" s="5"/>
      <c r="W159" s="5"/>
      <c r="X159" s="5"/>
      <c r="Y159" s="5"/>
      <c r="Z159" s="5"/>
      <c r="AA159" s="5"/>
      <c r="AB159" s="5"/>
      <c r="AC159" s="5"/>
      <c r="AD159" s="5"/>
      <c r="AE159" s="5"/>
      <c r="AF159" s="5"/>
      <c r="AG159" s="5"/>
      <c r="AH159" s="5"/>
      <c r="AI159" s="5"/>
      <c r="AJ159" s="5"/>
      <c r="AK159" s="5"/>
      <c r="AL159" s="5"/>
      <c r="AM159" s="5"/>
      <c r="AN159" s="5"/>
      <c r="AO159" s="5"/>
      <c r="AP159" s="5"/>
      <c r="AQ159" s="5"/>
      <c r="AR159" s="5"/>
      <c r="AS159" s="5"/>
      <c r="AT159" s="5"/>
    </row>
    <row r="160" spans="1:46" ht="12.75" customHeight="1" x14ac:dyDescent="0.2">
      <c r="A160" s="1"/>
      <c r="B160" s="1" t="s">
        <v>146</v>
      </c>
      <c r="C160" s="1" t="s">
        <v>147</v>
      </c>
      <c r="D160" s="2"/>
      <c r="E160" s="6" t="s">
        <v>46</v>
      </c>
      <c r="F160" s="3">
        <f>(0.86+1.22)/2</f>
        <v>1.04</v>
      </c>
      <c r="G160" s="3">
        <f>(34+47)/2</f>
        <v>40.5</v>
      </c>
      <c r="H160" s="3">
        <f>(4.7+7.1)/2</f>
        <v>5.9</v>
      </c>
      <c r="I160" s="3"/>
      <c r="J160" s="3">
        <f>(2.9+5.9)/2</f>
        <v>4.4000000000000004</v>
      </c>
      <c r="K160" s="3"/>
      <c r="L160" s="3"/>
      <c r="M160" s="3"/>
      <c r="N160" s="3"/>
      <c r="O160" s="4"/>
      <c r="P160" s="4"/>
      <c r="Q160" s="5"/>
      <c r="R160" s="5"/>
      <c r="S160" s="5"/>
      <c r="T160" s="5"/>
      <c r="U160" s="4"/>
      <c r="V160" s="5"/>
      <c r="W160" s="5"/>
      <c r="X160" s="5"/>
      <c r="Y160" s="5"/>
      <c r="Z160" s="5"/>
      <c r="AA160" s="5"/>
      <c r="AB160" s="5"/>
      <c r="AC160" s="5"/>
      <c r="AD160" s="5"/>
      <c r="AE160" s="5"/>
      <c r="AF160" s="5"/>
      <c r="AG160" s="5"/>
      <c r="AH160" s="5"/>
      <c r="AI160" s="5"/>
      <c r="AJ160" s="5"/>
      <c r="AK160" s="5"/>
      <c r="AL160" s="5"/>
      <c r="AM160" s="5"/>
      <c r="AN160" s="5"/>
      <c r="AO160" s="5"/>
      <c r="AP160" s="5"/>
      <c r="AQ160" s="5"/>
      <c r="AR160" s="5"/>
      <c r="AS160" s="5"/>
      <c r="AT160" s="5"/>
    </row>
    <row r="161" spans="1:46" ht="12.75" customHeight="1" x14ac:dyDescent="0.2">
      <c r="A161" s="1"/>
      <c r="B161" s="1" t="s">
        <v>148</v>
      </c>
      <c r="C161" s="1"/>
      <c r="D161" s="2"/>
      <c r="E161" s="6" t="s">
        <v>45</v>
      </c>
      <c r="F161" s="3">
        <f>(0.76+0.9)/2</f>
        <v>0.83000000000000007</v>
      </c>
      <c r="G161" s="3">
        <f>(30+36)/2</f>
        <v>33</v>
      </c>
      <c r="H161" s="3">
        <f>(5+5.3)/2</f>
        <v>5.15</v>
      </c>
      <c r="I161" s="3"/>
      <c r="J161" s="3">
        <f>(3+3.3)/2</f>
        <v>3.15</v>
      </c>
      <c r="K161" s="3"/>
      <c r="L161" s="3"/>
      <c r="M161" s="3">
        <v>40</v>
      </c>
      <c r="N161" s="3"/>
      <c r="O161" s="4"/>
      <c r="P161" s="4"/>
      <c r="Q161" s="5"/>
      <c r="R161" s="5"/>
      <c r="S161" s="5"/>
      <c r="T161" s="5"/>
      <c r="U161" s="4"/>
      <c r="V161" s="5"/>
      <c r="W161" s="5"/>
      <c r="X161" s="5"/>
      <c r="Y161" s="5"/>
      <c r="Z161" s="5"/>
      <c r="AA161" s="5"/>
      <c r="AB161" s="5"/>
      <c r="AC161" s="5"/>
      <c r="AD161" s="5"/>
      <c r="AE161" s="5"/>
      <c r="AF161" s="5"/>
      <c r="AG161" s="5"/>
      <c r="AH161" s="5"/>
      <c r="AI161" s="5"/>
      <c r="AJ161" s="5"/>
      <c r="AK161" s="5"/>
      <c r="AL161" s="5"/>
      <c r="AM161" s="5"/>
      <c r="AN161" s="5"/>
      <c r="AO161" s="5"/>
      <c r="AP161" s="5"/>
      <c r="AQ161" s="5"/>
      <c r="AR161" s="5"/>
      <c r="AS161" s="5"/>
      <c r="AT161" s="5"/>
    </row>
    <row r="162" spans="1:46" ht="12.75" customHeight="1" x14ac:dyDescent="0.2">
      <c r="A162" s="1"/>
      <c r="B162" s="1" t="s">
        <v>149</v>
      </c>
      <c r="C162" s="1" t="s">
        <v>150</v>
      </c>
      <c r="D162" s="2"/>
      <c r="E162" s="6" t="s">
        <v>45</v>
      </c>
      <c r="F162" s="3">
        <f>(0.87+1.26)/2</f>
        <v>1.0649999999999999</v>
      </c>
      <c r="G162" s="3">
        <f>(19+21)/2</f>
        <v>20</v>
      </c>
      <c r="H162" s="3">
        <f>(6.1+9.2)/2</f>
        <v>7.6499999999999995</v>
      </c>
      <c r="I162" s="3"/>
      <c r="J162" s="3">
        <f>(9.9+12)/2</f>
        <v>10.95</v>
      </c>
      <c r="K162" s="3"/>
      <c r="L162" s="3"/>
      <c r="M162" s="3">
        <f>(50+59)/2</f>
        <v>54.5</v>
      </c>
      <c r="N162" s="3"/>
      <c r="O162" s="4"/>
      <c r="P162" s="4"/>
      <c r="Q162" s="5"/>
      <c r="R162" s="5"/>
      <c r="S162" s="5"/>
      <c r="T162" s="5"/>
      <c r="U162" s="4"/>
      <c r="V162" s="5"/>
      <c r="W162" s="5"/>
      <c r="X162" s="5"/>
      <c r="Y162" s="5"/>
      <c r="Z162" s="5"/>
      <c r="AA162" s="5"/>
      <c r="AB162" s="5"/>
      <c r="AC162" s="5"/>
      <c r="AD162" s="5"/>
      <c r="AE162" s="5"/>
      <c r="AF162" s="5"/>
      <c r="AG162" s="5"/>
      <c r="AH162" s="5"/>
      <c r="AI162" s="5"/>
      <c r="AJ162" s="5"/>
      <c r="AK162" s="5"/>
      <c r="AL162" s="5"/>
      <c r="AM162" s="5"/>
      <c r="AN162" s="5"/>
      <c r="AO162" s="5"/>
      <c r="AP162" s="5"/>
      <c r="AQ162" s="5"/>
      <c r="AR162" s="5"/>
      <c r="AS162" s="5"/>
      <c r="AT162" s="5"/>
    </row>
    <row r="163" spans="1:46" ht="12.75" customHeight="1" x14ac:dyDescent="0.2">
      <c r="A163" s="1"/>
      <c r="B163" s="1" t="s">
        <v>149</v>
      </c>
      <c r="C163" s="1" t="s">
        <v>150</v>
      </c>
      <c r="D163" s="2"/>
      <c r="E163" s="6" t="s">
        <v>46</v>
      </c>
      <c r="F163" s="3">
        <f>(0.83+1.21)/2</f>
        <v>1.02</v>
      </c>
      <c r="G163" s="3">
        <f>(18+22)/2</f>
        <v>20</v>
      </c>
      <c r="H163" s="3">
        <f>(6.2+9.3)/2</f>
        <v>7.75</v>
      </c>
      <c r="I163" s="3"/>
      <c r="J163" s="3">
        <f>(18+25)/2</f>
        <v>21.5</v>
      </c>
      <c r="K163" s="3"/>
      <c r="L163" s="3"/>
      <c r="M163" s="3"/>
      <c r="N163" s="3"/>
      <c r="O163" s="4"/>
      <c r="P163" s="4"/>
      <c r="Q163" s="5"/>
      <c r="R163" s="5"/>
      <c r="S163" s="5"/>
      <c r="T163" s="5"/>
      <c r="U163" s="4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AL163" s="5"/>
      <c r="AM163" s="5"/>
      <c r="AN163" s="5"/>
      <c r="AO163" s="5"/>
      <c r="AP163" s="5"/>
      <c r="AQ163" s="5"/>
      <c r="AR163" s="5"/>
      <c r="AS163" s="5"/>
      <c r="AT163" s="5"/>
    </row>
    <row r="164" spans="1:46" ht="12.75" customHeight="1" x14ac:dyDescent="0.2">
      <c r="A164" s="1"/>
      <c r="B164" s="1" t="s">
        <v>151</v>
      </c>
      <c r="C164" s="1"/>
      <c r="D164" s="2"/>
      <c r="E164" s="6" t="s">
        <v>45</v>
      </c>
      <c r="F164" s="3">
        <f>(1+1.47)/2</f>
        <v>1.2349999999999999</v>
      </c>
      <c r="G164" s="3">
        <f t="shared" ref="G164:G165" si="4">(30+40)/2</f>
        <v>35</v>
      </c>
      <c r="H164" s="3">
        <f t="shared" ref="H164:H165" si="5">(6+7)/2</f>
        <v>6.5</v>
      </c>
      <c r="I164" s="3"/>
      <c r="J164" s="3">
        <f>(2+4.3)/2</f>
        <v>3.15</v>
      </c>
      <c r="K164" s="3"/>
      <c r="L164" s="3"/>
      <c r="M164" s="3">
        <f>(42+45)/2</f>
        <v>43.5</v>
      </c>
      <c r="N164" s="3"/>
      <c r="O164" s="4"/>
      <c r="P164" s="4"/>
      <c r="Q164" s="5"/>
      <c r="R164" s="5"/>
      <c r="S164" s="5"/>
      <c r="T164" s="5"/>
      <c r="U164" s="4"/>
      <c r="V164" s="5"/>
      <c r="W164" s="5"/>
      <c r="X164" s="5"/>
      <c r="Y164" s="5"/>
      <c r="Z164" s="5"/>
      <c r="AA164" s="5"/>
      <c r="AB164" s="5"/>
      <c r="AC164" s="5"/>
      <c r="AD164" s="5"/>
      <c r="AE164" s="5"/>
      <c r="AF164" s="5"/>
      <c r="AG164" s="5"/>
      <c r="AH164" s="5"/>
      <c r="AI164" s="5"/>
      <c r="AJ164" s="5"/>
      <c r="AK164" s="5"/>
      <c r="AL164" s="5"/>
      <c r="AM164" s="5"/>
      <c r="AN164" s="5"/>
      <c r="AO164" s="5"/>
      <c r="AP164" s="5"/>
      <c r="AQ164" s="5"/>
      <c r="AR164" s="5"/>
      <c r="AS164" s="5"/>
      <c r="AT164" s="5"/>
    </row>
    <row r="165" spans="1:46" ht="12.75" customHeight="1" x14ac:dyDescent="0.2">
      <c r="A165" s="1"/>
      <c r="B165" s="1" t="s">
        <v>151</v>
      </c>
      <c r="C165" s="1"/>
      <c r="D165" s="2"/>
      <c r="E165" s="6" t="s">
        <v>46</v>
      </c>
      <c r="F165" s="3">
        <f>(1+1.44)/2</f>
        <v>1.22</v>
      </c>
      <c r="G165" s="3">
        <f t="shared" si="4"/>
        <v>35</v>
      </c>
      <c r="H165" s="3">
        <f t="shared" si="5"/>
        <v>6.5</v>
      </c>
      <c r="I165" s="3"/>
      <c r="J165" s="3">
        <f>(2.7+3.3)/2</f>
        <v>3</v>
      </c>
      <c r="K165" s="3"/>
      <c r="L165" s="3"/>
      <c r="M165" s="3"/>
      <c r="N165" s="3"/>
      <c r="O165" s="4"/>
      <c r="P165" s="4"/>
      <c r="Q165" s="4">
        <f>(32+36)/2</f>
        <v>34</v>
      </c>
      <c r="R165" s="5"/>
      <c r="S165" s="5"/>
      <c r="T165" s="5"/>
      <c r="U165" s="4"/>
      <c r="V165" s="5"/>
      <c r="W165" s="5"/>
      <c r="X165" s="5"/>
      <c r="Y165" s="5"/>
      <c r="Z165" s="5"/>
      <c r="AA165" s="5"/>
      <c r="AB165" s="5"/>
      <c r="AC165" s="5"/>
      <c r="AD165" s="5"/>
      <c r="AE165" s="5"/>
      <c r="AF165" s="5"/>
      <c r="AG165" s="5"/>
      <c r="AH165" s="5"/>
      <c r="AI165" s="5"/>
      <c r="AJ165" s="5"/>
      <c r="AK165" s="5"/>
      <c r="AL165" s="5"/>
      <c r="AM165" s="5"/>
      <c r="AN165" s="5"/>
      <c r="AO165" s="5"/>
      <c r="AP165" s="5"/>
      <c r="AQ165" s="5"/>
      <c r="AR165" s="5"/>
      <c r="AS165" s="5"/>
      <c r="AT165" s="5"/>
    </row>
    <row r="166" spans="1:46" ht="12.75" customHeight="1" x14ac:dyDescent="0.2">
      <c r="A166" s="1"/>
      <c r="B166" s="1" t="s">
        <v>152</v>
      </c>
      <c r="C166" s="1"/>
      <c r="D166" s="2"/>
      <c r="E166" s="6" t="s">
        <v>45</v>
      </c>
      <c r="F166" s="3">
        <f>(0.72+1.01)/2</f>
        <v>0.86499999999999999</v>
      </c>
      <c r="G166" s="3">
        <f>(25+42)/2</f>
        <v>33.5</v>
      </c>
      <c r="H166" s="3">
        <f>(7+10)/2</f>
        <v>8.5</v>
      </c>
      <c r="I166" s="3"/>
      <c r="J166" s="3">
        <f>(2+3.5)/2</f>
        <v>2.75</v>
      </c>
      <c r="K166" s="3"/>
      <c r="L166" s="3"/>
      <c r="M166" s="3">
        <f>(30+44)/2</f>
        <v>37</v>
      </c>
      <c r="N166" s="3"/>
      <c r="O166" s="4"/>
      <c r="P166" s="4"/>
      <c r="Q166" s="5"/>
      <c r="R166" s="5"/>
      <c r="S166" s="5"/>
      <c r="T166" s="5"/>
      <c r="U166" s="4"/>
      <c r="V166" s="5"/>
      <c r="W166" s="5"/>
      <c r="X166" s="5"/>
      <c r="Y166" s="5"/>
      <c r="Z166" s="5"/>
      <c r="AA166" s="5"/>
      <c r="AB166" s="5"/>
      <c r="AC166" s="5"/>
      <c r="AD166" s="5"/>
      <c r="AE166" s="5"/>
      <c r="AF166" s="5"/>
      <c r="AG166" s="5"/>
      <c r="AH166" s="5"/>
      <c r="AI166" s="5"/>
      <c r="AJ166" s="5"/>
      <c r="AK166" s="5"/>
      <c r="AL166" s="5"/>
      <c r="AM166" s="5"/>
      <c r="AN166" s="5"/>
      <c r="AO166" s="5"/>
      <c r="AP166" s="5"/>
      <c r="AQ166" s="5"/>
      <c r="AR166" s="5"/>
      <c r="AS166" s="5"/>
      <c r="AT166" s="5"/>
    </row>
    <row r="167" spans="1:46" ht="12.75" customHeight="1" x14ac:dyDescent="0.2">
      <c r="A167" s="1"/>
      <c r="B167" s="1" t="s">
        <v>152</v>
      </c>
      <c r="C167" s="1"/>
      <c r="D167" s="2"/>
      <c r="E167" s="6" t="s">
        <v>46</v>
      </c>
      <c r="F167" s="3">
        <f>(0.59+0.74)/2</f>
        <v>0.66500000000000004</v>
      </c>
      <c r="G167" s="3">
        <f>(30+53)/2</f>
        <v>41.5</v>
      </c>
      <c r="H167" s="3">
        <f>(6+7.6)/2</f>
        <v>6.8</v>
      </c>
      <c r="I167" s="3"/>
      <c r="J167" s="3">
        <f>(2+3.9)/2</f>
        <v>2.95</v>
      </c>
      <c r="K167" s="3"/>
      <c r="L167" s="3"/>
      <c r="M167" s="3"/>
      <c r="N167" s="3"/>
      <c r="O167" s="4"/>
      <c r="P167" s="4"/>
      <c r="Q167" s="5"/>
      <c r="R167" s="5"/>
      <c r="S167" s="5"/>
      <c r="T167" s="5"/>
      <c r="U167" s="4"/>
      <c r="V167" s="5"/>
      <c r="W167" s="5"/>
      <c r="X167" s="5"/>
      <c r="Y167" s="5"/>
      <c r="Z167" s="5"/>
      <c r="AA167" s="5"/>
      <c r="AB167" s="5"/>
      <c r="AC167" s="5"/>
      <c r="AD167" s="5"/>
      <c r="AE167" s="5"/>
      <c r="AF167" s="5"/>
      <c r="AG167" s="5"/>
      <c r="AH167" s="5"/>
      <c r="AI167" s="5"/>
      <c r="AJ167" s="5"/>
      <c r="AK167" s="5"/>
      <c r="AL167" s="5"/>
      <c r="AM167" s="5"/>
      <c r="AN167" s="5"/>
      <c r="AO167" s="5"/>
      <c r="AP167" s="5"/>
      <c r="AQ167" s="5"/>
      <c r="AR167" s="5"/>
      <c r="AS167" s="5"/>
      <c r="AT167" s="5"/>
    </row>
    <row r="168" spans="1:46" ht="12.75" customHeight="1" x14ac:dyDescent="0.2">
      <c r="A168" s="1"/>
      <c r="B168" s="1" t="s">
        <v>153</v>
      </c>
      <c r="C168" s="1"/>
      <c r="D168" s="2"/>
      <c r="E168" s="6" t="s">
        <v>45</v>
      </c>
      <c r="F168" s="3">
        <f>(1.08+1.26)/2</f>
        <v>1.17</v>
      </c>
      <c r="G168" s="3">
        <f>(18+23)/2</f>
        <v>20.5</v>
      </c>
      <c r="H168" s="3">
        <f>(6.5+7.9)/2</f>
        <v>7.2</v>
      </c>
      <c r="I168" s="3"/>
      <c r="J168" s="3">
        <f>(9+11)/2</f>
        <v>10</v>
      </c>
      <c r="K168" s="3"/>
      <c r="L168" s="3"/>
      <c r="M168" s="3">
        <f>(50+54)/2</f>
        <v>52</v>
      </c>
      <c r="N168" s="3"/>
      <c r="O168" s="4"/>
      <c r="P168" s="4"/>
      <c r="Q168" s="5"/>
      <c r="R168" s="5"/>
      <c r="S168" s="5"/>
      <c r="T168" s="5"/>
      <c r="U168" s="4"/>
      <c r="V168" s="5"/>
      <c r="W168" s="5"/>
      <c r="X168" s="5"/>
      <c r="Y168" s="5"/>
      <c r="Z168" s="5"/>
      <c r="AA168" s="5"/>
      <c r="AB168" s="5"/>
      <c r="AC168" s="5"/>
      <c r="AD168" s="5"/>
      <c r="AE168" s="5"/>
      <c r="AF168" s="5"/>
      <c r="AG168" s="5"/>
      <c r="AH168" s="5"/>
      <c r="AI168" s="5"/>
      <c r="AJ168" s="5"/>
      <c r="AK168" s="5"/>
      <c r="AL168" s="5"/>
      <c r="AM168" s="5"/>
      <c r="AN168" s="5"/>
      <c r="AO168" s="5"/>
      <c r="AP168" s="5"/>
      <c r="AQ168" s="5"/>
      <c r="AR168" s="5"/>
      <c r="AS168" s="5"/>
      <c r="AT168" s="5"/>
    </row>
    <row r="169" spans="1:46" ht="12.75" customHeight="1" x14ac:dyDescent="0.2">
      <c r="A169" s="1"/>
      <c r="B169" s="1" t="s">
        <v>153</v>
      </c>
      <c r="C169" s="1"/>
      <c r="D169" s="2"/>
      <c r="E169" s="6" t="s">
        <v>46</v>
      </c>
      <c r="F169" s="3">
        <f>(0.75+0.88)/2</f>
        <v>0.81499999999999995</v>
      </c>
      <c r="G169" s="3">
        <f>(20+26)/2</f>
        <v>23</v>
      </c>
      <c r="H169" s="3">
        <f>(6+7.7)/2</f>
        <v>6.85</v>
      </c>
      <c r="I169" s="3"/>
      <c r="J169" s="3">
        <f>(9+12)/2</f>
        <v>10.5</v>
      </c>
      <c r="K169" s="3"/>
      <c r="L169" s="3"/>
      <c r="M169" s="3"/>
      <c r="N169" s="3"/>
      <c r="O169" s="4"/>
      <c r="P169" s="4"/>
      <c r="Q169" s="5"/>
      <c r="R169" s="5"/>
      <c r="S169" s="5"/>
      <c r="T169" s="5"/>
      <c r="U169" s="4"/>
      <c r="V169" s="5"/>
      <c r="W169" s="5"/>
      <c r="X169" s="5"/>
      <c r="Y169" s="5"/>
      <c r="Z169" s="5"/>
      <c r="AA169" s="5"/>
      <c r="AB169" s="5"/>
      <c r="AC169" s="5"/>
      <c r="AD169" s="5"/>
      <c r="AE169" s="5"/>
      <c r="AF169" s="5"/>
      <c r="AG169" s="5"/>
      <c r="AH169" s="5"/>
      <c r="AI169" s="5"/>
      <c r="AJ169" s="5"/>
      <c r="AK169" s="5"/>
      <c r="AL169" s="5"/>
      <c r="AM169" s="5"/>
      <c r="AN169" s="5"/>
      <c r="AO169" s="5"/>
      <c r="AP169" s="5"/>
      <c r="AQ169" s="5"/>
      <c r="AR169" s="5"/>
      <c r="AS169" s="5"/>
      <c r="AT169" s="5"/>
    </row>
    <row r="170" spans="1:46" ht="12.75" customHeight="1" x14ac:dyDescent="0.2">
      <c r="A170" s="1"/>
      <c r="B170" s="1" t="s">
        <v>154</v>
      </c>
      <c r="C170" s="1"/>
      <c r="D170" s="2"/>
      <c r="E170" s="6" t="s">
        <v>45</v>
      </c>
      <c r="F170" s="3">
        <f>(0.8+0.85)/2</f>
        <v>0.82499999999999996</v>
      </c>
      <c r="G170" s="3">
        <f>(14+18)/2</f>
        <v>16</v>
      </c>
      <c r="H170" s="3">
        <f t="shared" ref="H170:H171" si="6">(6+7)/2</f>
        <v>6.5</v>
      </c>
      <c r="I170" s="3"/>
      <c r="J170" s="3">
        <f>(3.2+4)/2</f>
        <v>3.6</v>
      </c>
      <c r="K170" s="3"/>
      <c r="L170" s="3"/>
      <c r="M170" s="3">
        <f>(37+40)/2</f>
        <v>38.5</v>
      </c>
      <c r="N170" s="3"/>
      <c r="O170" s="4"/>
      <c r="P170" s="4"/>
      <c r="Q170" s="5"/>
      <c r="R170" s="5"/>
      <c r="S170" s="5"/>
      <c r="T170" s="5"/>
      <c r="U170" s="4"/>
      <c r="V170" s="5"/>
      <c r="W170" s="5"/>
      <c r="X170" s="5"/>
      <c r="Y170" s="5"/>
      <c r="Z170" s="5"/>
      <c r="AA170" s="5"/>
      <c r="AB170" s="5"/>
      <c r="AC170" s="5"/>
      <c r="AD170" s="5"/>
      <c r="AE170" s="5"/>
      <c r="AF170" s="5"/>
      <c r="AG170" s="5"/>
      <c r="AH170" s="5"/>
      <c r="AI170" s="5"/>
      <c r="AJ170" s="5"/>
      <c r="AK170" s="5"/>
      <c r="AL170" s="5"/>
      <c r="AM170" s="5"/>
      <c r="AN170" s="5"/>
      <c r="AO170" s="5"/>
      <c r="AP170" s="5"/>
      <c r="AQ170" s="5"/>
      <c r="AR170" s="5"/>
      <c r="AS170" s="5"/>
      <c r="AT170" s="5"/>
    </row>
    <row r="171" spans="1:46" ht="12.75" customHeight="1" x14ac:dyDescent="0.2">
      <c r="A171" s="1"/>
      <c r="B171" s="1" t="s">
        <v>154</v>
      </c>
      <c r="C171" s="1"/>
      <c r="D171" s="2"/>
      <c r="E171" s="6" t="s">
        <v>46</v>
      </c>
      <c r="F171" s="3">
        <f>(0.54+0.6)/2</f>
        <v>0.57000000000000006</v>
      </c>
      <c r="G171" s="3">
        <f>(17+20)/2</f>
        <v>18.5</v>
      </c>
      <c r="H171" s="3">
        <f t="shared" si="6"/>
        <v>6.5</v>
      </c>
      <c r="I171" s="3"/>
      <c r="J171" s="3">
        <f>(3.8+4.2)/2</f>
        <v>4</v>
      </c>
      <c r="K171" s="3"/>
      <c r="L171" s="3"/>
      <c r="M171" s="3"/>
      <c r="N171" s="3"/>
      <c r="O171" s="4"/>
      <c r="P171" s="4"/>
      <c r="Q171" s="5"/>
      <c r="R171" s="5"/>
      <c r="S171" s="5"/>
      <c r="T171" s="5"/>
      <c r="U171" s="4"/>
      <c r="V171" s="5"/>
      <c r="W171" s="5"/>
      <c r="X171" s="5"/>
      <c r="Y171" s="5"/>
      <c r="Z171" s="5"/>
      <c r="AA171" s="5"/>
      <c r="AB171" s="5"/>
      <c r="AC171" s="5"/>
      <c r="AD171" s="5"/>
      <c r="AE171" s="5"/>
      <c r="AF171" s="5"/>
      <c r="AG171" s="5"/>
      <c r="AH171" s="5"/>
      <c r="AI171" s="5"/>
      <c r="AJ171" s="5"/>
      <c r="AK171" s="5"/>
      <c r="AL171" s="5"/>
      <c r="AM171" s="5"/>
      <c r="AN171" s="5"/>
      <c r="AO171" s="5"/>
      <c r="AP171" s="5"/>
      <c r="AQ171" s="5"/>
      <c r="AR171" s="5"/>
      <c r="AS171" s="5"/>
      <c r="AT171" s="5"/>
    </row>
    <row r="172" spans="1:46" ht="12.75" customHeight="1" x14ac:dyDescent="0.2">
      <c r="A172" s="1"/>
      <c r="B172" s="1" t="s">
        <v>155</v>
      </c>
      <c r="C172" s="1" t="s">
        <v>156</v>
      </c>
      <c r="D172" s="2"/>
      <c r="E172" s="6" t="s">
        <v>45</v>
      </c>
      <c r="F172" s="3">
        <f>(1+1.27)/2</f>
        <v>1.135</v>
      </c>
      <c r="G172" s="3">
        <f>(14+16)/2</f>
        <v>15</v>
      </c>
      <c r="H172" s="3">
        <f>(6.4+7.3)/2</f>
        <v>6.85</v>
      </c>
      <c r="I172" s="3"/>
      <c r="J172" s="3">
        <f>(4.2+4.8)/2</f>
        <v>4.5</v>
      </c>
      <c r="K172" s="3"/>
      <c r="L172" s="3"/>
      <c r="M172" s="3">
        <f>(44+47)/2</f>
        <v>45.5</v>
      </c>
      <c r="N172" s="3"/>
      <c r="O172" s="4"/>
      <c r="P172" s="4"/>
      <c r="Q172" s="5"/>
      <c r="R172" s="5"/>
      <c r="S172" s="5"/>
      <c r="T172" s="5"/>
      <c r="U172" s="4"/>
      <c r="V172" s="5"/>
      <c r="W172" s="5"/>
      <c r="X172" s="5"/>
      <c r="Y172" s="5"/>
      <c r="Z172" s="5"/>
      <c r="AA172" s="5"/>
      <c r="AB172" s="5"/>
      <c r="AC172" s="5"/>
      <c r="AD172" s="5"/>
      <c r="AE172" s="5"/>
      <c r="AF172" s="5"/>
      <c r="AG172" s="5"/>
      <c r="AH172" s="5"/>
      <c r="AI172" s="5"/>
      <c r="AJ172" s="5"/>
      <c r="AK172" s="5"/>
      <c r="AL172" s="5"/>
      <c r="AM172" s="5"/>
      <c r="AN172" s="5"/>
      <c r="AO172" s="5"/>
      <c r="AP172" s="5"/>
      <c r="AQ172" s="5"/>
      <c r="AR172" s="5"/>
      <c r="AS172" s="5"/>
      <c r="AT172" s="5"/>
    </row>
    <row r="173" spans="1:46" ht="12.75" customHeight="1" x14ac:dyDescent="0.2">
      <c r="A173" s="1"/>
      <c r="B173" s="1" t="s">
        <v>155</v>
      </c>
      <c r="C173" s="1" t="s">
        <v>156</v>
      </c>
      <c r="D173" s="2"/>
      <c r="E173" s="6" t="s">
        <v>46</v>
      </c>
      <c r="F173" s="3">
        <f>(0.95+1.1)/2</f>
        <v>1.0249999999999999</v>
      </c>
      <c r="G173" s="3">
        <f>(15+18)/2</f>
        <v>16.5</v>
      </c>
      <c r="H173" s="3">
        <f>(5.5+6.7)/2</f>
        <v>6.1</v>
      </c>
      <c r="I173" s="3"/>
      <c r="J173" s="3">
        <f>(5+6)/2</f>
        <v>5.5</v>
      </c>
      <c r="K173" s="3"/>
      <c r="L173" s="3"/>
      <c r="M173" s="3"/>
      <c r="N173" s="3"/>
      <c r="O173" s="4"/>
      <c r="P173" s="4"/>
      <c r="Q173" s="5"/>
      <c r="R173" s="5"/>
      <c r="S173" s="5"/>
      <c r="T173" s="5"/>
      <c r="U173" s="4"/>
      <c r="V173" s="5"/>
      <c r="W173" s="5"/>
      <c r="X173" s="5"/>
      <c r="Y173" s="5"/>
      <c r="Z173" s="5"/>
      <c r="AA173" s="5"/>
      <c r="AB173" s="5"/>
      <c r="AC173" s="5"/>
      <c r="AD173" s="5"/>
      <c r="AE173" s="5"/>
      <c r="AF173" s="5"/>
      <c r="AG173" s="5"/>
      <c r="AH173" s="5"/>
      <c r="AI173" s="5"/>
      <c r="AJ173" s="5"/>
      <c r="AK173" s="5"/>
      <c r="AL173" s="5"/>
      <c r="AM173" s="5"/>
      <c r="AN173" s="5"/>
      <c r="AO173" s="5"/>
      <c r="AP173" s="5"/>
      <c r="AQ173" s="5"/>
      <c r="AR173" s="5"/>
      <c r="AS173" s="5"/>
      <c r="AT173" s="5"/>
    </row>
    <row r="174" spans="1:46" ht="12.75" customHeight="1" x14ac:dyDescent="0.2">
      <c r="A174" s="1"/>
      <c r="B174" s="1" t="s">
        <v>157</v>
      </c>
      <c r="C174" s="1" t="s">
        <v>158</v>
      </c>
      <c r="D174" s="2"/>
      <c r="E174" s="6" t="s">
        <v>45</v>
      </c>
      <c r="F174" s="3">
        <f>(0.84+1.15)/2</f>
        <v>0.99499999999999988</v>
      </c>
      <c r="G174" s="3">
        <f>(38+45)/2</f>
        <v>41.5</v>
      </c>
      <c r="H174" s="3">
        <f>(5.6+6.9)/2</f>
        <v>6.25</v>
      </c>
      <c r="I174" s="3"/>
      <c r="J174" s="3">
        <f>(2.5+3.6)/2</f>
        <v>3.05</v>
      </c>
      <c r="K174" s="3"/>
      <c r="L174" s="3"/>
      <c r="M174" s="3">
        <f>(34+43)/2</f>
        <v>38.5</v>
      </c>
      <c r="N174" s="3"/>
      <c r="O174" s="4"/>
      <c r="P174" s="4"/>
      <c r="Q174" s="5"/>
      <c r="R174" s="5"/>
      <c r="S174" s="5"/>
      <c r="T174" s="5"/>
      <c r="U174" s="4"/>
      <c r="V174" s="5"/>
      <c r="W174" s="5"/>
      <c r="X174" s="5"/>
      <c r="Y174" s="5"/>
      <c r="Z174" s="5"/>
      <c r="AA174" s="5"/>
      <c r="AB174" s="5"/>
      <c r="AC174" s="5"/>
      <c r="AD174" s="5"/>
      <c r="AE174" s="5"/>
      <c r="AF174" s="5"/>
      <c r="AG174" s="5"/>
      <c r="AH174" s="5"/>
      <c r="AI174" s="5"/>
      <c r="AJ174" s="5"/>
      <c r="AK174" s="5"/>
      <c r="AL174" s="5"/>
      <c r="AM174" s="5"/>
      <c r="AN174" s="5"/>
      <c r="AO174" s="5"/>
      <c r="AP174" s="5"/>
      <c r="AQ174" s="5"/>
      <c r="AR174" s="5"/>
      <c r="AS174" s="5"/>
      <c r="AT174" s="5"/>
    </row>
    <row r="175" spans="1:46" ht="12.75" customHeight="1" x14ac:dyDescent="0.2">
      <c r="A175" s="1"/>
      <c r="B175" s="1" t="s">
        <v>157</v>
      </c>
      <c r="C175" s="1" t="s">
        <v>158</v>
      </c>
      <c r="D175" s="2"/>
      <c r="E175" s="6" t="s">
        <v>46</v>
      </c>
      <c r="F175" s="3">
        <f>(0.83+1.05)/2</f>
        <v>0.94</v>
      </c>
      <c r="G175" s="3">
        <f>(33+46)/2</f>
        <v>39.5</v>
      </c>
      <c r="H175" s="3">
        <f>(6.3+7.2)/2</f>
        <v>6.75</v>
      </c>
      <c r="I175" s="3"/>
      <c r="J175" s="3">
        <f>(2.8+3.9)/2</f>
        <v>3.3499999999999996</v>
      </c>
      <c r="K175" s="3"/>
      <c r="L175" s="3"/>
      <c r="M175" s="3"/>
      <c r="N175" s="3"/>
      <c r="O175" s="4"/>
      <c r="P175" s="4"/>
      <c r="Q175" s="5"/>
      <c r="R175" s="5"/>
      <c r="S175" s="5"/>
      <c r="T175" s="5"/>
      <c r="U175" s="4"/>
      <c r="V175" s="5"/>
      <c r="W175" s="5"/>
      <c r="X175" s="5"/>
      <c r="Y175" s="5"/>
      <c r="Z175" s="5"/>
      <c r="AA175" s="5"/>
      <c r="AB175" s="5"/>
      <c r="AC175" s="5"/>
      <c r="AD175" s="5"/>
      <c r="AE175" s="5"/>
      <c r="AF175" s="5"/>
      <c r="AG175" s="5"/>
      <c r="AH175" s="5"/>
      <c r="AI175" s="5"/>
      <c r="AJ175" s="5"/>
      <c r="AK175" s="5"/>
      <c r="AL175" s="5"/>
      <c r="AM175" s="5"/>
      <c r="AN175" s="5"/>
      <c r="AO175" s="5"/>
      <c r="AP175" s="5"/>
      <c r="AQ175" s="5"/>
      <c r="AR175" s="5"/>
      <c r="AS175" s="5"/>
      <c r="AT175" s="5"/>
    </row>
    <row r="176" spans="1:46" ht="12.75" customHeight="1" x14ac:dyDescent="0.2">
      <c r="A176" s="1"/>
      <c r="B176" s="1" t="s">
        <v>159</v>
      </c>
      <c r="C176" s="1"/>
      <c r="D176" s="2"/>
      <c r="E176" s="6" t="s">
        <v>45</v>
      </c>
      <c r="F176" s="3">
        <f>(1.15+1.28)/2</f>
        <v>1.2149999999999999</v>
      </c>
      <c r="G176" s="3">
        <f>(20+25)/2</f>
        <v>22.5</v>
      </c>
      <c r="H176" s="3">
        <f>(7.1+8.8)/2</f>
        <v>7.95</v>
      </c>
      <c r="I176" s="3"/>
      <c r="J176" s="3">
        <f>(2.3+2.9)/2</f>
        <v>2.5999999999999996</v>
      </c>
      <c r="K176" s="3"/>
      <c r="L176" s="3"/>
      <c r="M176" s="3">
        <f>(35+39)/2</f>
        <v>37</v>
      </c>
      <c r="N176" s="3"/>
      <c r="O176" s="4"/>
      <c r="P176" s="4"/>
      <c r="Q176" s="5"/>
      <c r="R176" s="5"/>
      <c r="S176" s="5"/>
      <c r="T176" s="5"/>
      <c r="U176" s="4"/>
      <c r="V176" s="5"/>
      <c r="W176" s="5"/>
      <c r="X176" s="5"/>
      <c r="Y176" s="5"/>
      <c r="Z176" s="5"/>
      <c r="AA176" s="5"/>
      <c r="AB176" s="5"/>
      <c r="AC176" s="5"/>
      <c r="AD176" s="5"/>
      <c r="AE176" s="5"/>
      <c r="AF176" s="5"/>
      <c r="AG176" s="5"/>
      <c r="AH176" s="5"/>
      <c r="AI176" s="5"/>
      <c r="AJ176" s="5"/>
      <c r="AK176" s="5"/>
      <c r="AL176" s="5"/>
      <c r="AM176" s="5"/>
      <c r="AN176" s="5"/>
      <c r="AO176" s="5"/>
      <c r="AP176" s="5"/>
      <c r="AQ176" s="5"/>
      <c r="AR176" s="5"/>
      <c r="AS176" s="5"/>
      <c r="AT176" s="5"/>
    </row>
    <row r="177" spans="1:46" ht="12.75" customHeight="1" x14ac:dyDescent="0.2">
      <c r="A177" s="1"/>
      <c r="B177" s="1" t="s">
        <v>159</v>
      </c>
      <c r="C177" s="1"/>
      <c r="D177" s="2"/>
      <c r="E177" s="6" t="s">
        <v>46</v>
      </c>
      <c r="F177" s="3">
        <f>(0.89+1.18)/2</f>
        <v>1.0349999999999999</v>
      </c>
      <c r="G177" s="3">
        <f>(21+27)/2</f>
        <v>24</v>
      </c>
      <c r="H177" s="3">
        <f>(7.1+8.5)/2</f>
        <v>7.8</v>
      </c>
      <c r="I177" s="3"/>
      <c r="J177" s="3">
        <f>(2.5+3.2)/2</f>
        <v>2.85</v>
      </c>
      <c r="K177" s="3"/>
      <c r="L177" s="3"/>
      <c r="M177" s="3"/>
      <c r="N177" s="3"/>
      <c r="O177" s="4"/>
      <c r="P177" s="4"/>
      <c r="Q177" s="5"/>
      <c r="R177" s="5"/>
      <c r="S177" s="5"/>
      <c r="T177" s="5"/>
      <c r="U177" s="4"/>
      <c r="V177" s="5"/>
      <c r="W177" s="5"/>
      <c r="X177" s="5"/>
      <c r="Y177" s="5"/>
      <c r="Z177" s="5"/>
      <c r="AA177" s="5"/>
      <c r="AB177" s="5"/>
      <c r="AC177" s="5"/>
      <c r="AD177" s="5"/>
      <c r="AE177" s="5"/>
      <c r="AF177" s="5"/>
      <c r="AG177" s="5"/>
      <c r="AH177" s="5"/>
      <c r="AI177" s="5"/>
      <c r="AJ177" s="5"/>
      <c r="AK177" s="5"/>
      <c r="AL177" s="5"/>
      <c r="AM177" s="5"/>
      <c r="AN177" s="5"/>
      <c r="AO177" s="5"/>
      <c r="AP177" s="5"/>
      <c r="AQ177" s="5"/>
      <c r="AR177" s="5"/>
      <c r="AS177" s="5"/>
      <c r="AT177" s="5"/>
    </row>
    <row r="178" spans="1:46" ht="12.75" customHeight="1" x14ac:dyDescent="0.2">
      <c r="A178" s="1"/>
      <c r="B178" s="1" t="s">
        <v>160</v>
      </c>
      <c r="C178" s="1"/>
      <c r="D178" s="2"/>
      <c r="E178" s="6" t="s">
        <v>45</v>
      </c>
      <c r="F178" s="3">
        <f>(0.55+0.95)/2</f>
        <v>0.75</v>
      </c>
      <c r="G178" s="3">
        <f>(23+33)/2</f>
        <v>28</v>
      </c>
      <c r="H178" s="3">
        <f>(6.3+9.3)/2</f>
        <v>7.8000000000000007</v>
      </c>
      <c r="I178" s="3"/>
      <c r="J178" s="3">
        <f>(3+3.8)/2</f>
        <v>3.4</v>
      </c>
      <c r="K178" s="3"/>
      <c r="L178" s="3"/>
      <c r="M178" s="3">
        <f>(37+46)/2</f>
        <v>41.5</v>
      </c>
      <c r="N178" s="3"/>
      <c r="O178" s="4"/>
      <c r="P178" s="4"/>
      <c r="Q178" s="5"/>
      <c r="R178" s="5"/>
      <c r="S178" s="5"/>
      <c r="T178" s="5"/>
      <c r="U178" s="4"/>
      <c r="V178" s="5"/>
      <c r="W178" s="5"/>
      <c r="X178" s="5"/>
      <c r="Y178" s="5"/>
      <c r="Z178" s="5"/>
      <c r="AA178" s="5"/>
      <c r="AB178" s="5"/>
      <c r="AC178" s="5"/>
      <c r="AD178" s="5"/>
      <c r="AE178" s="5"/>
      <c r="AF178" s="5"/>
      <c r="AG178" s="5"/>
      <c r="AH178" s="5"/>
      <c r="AI178" s="5"/>
      <c r="AJ178" s="5"/>
      <c r="AK178" s="5"/>
      <c r="AL178" s="5"/>
      <c r="AM178" s="5"/>
      <c r="AN178" s="5"/>
      <c r="AO178" s="5"/>
      <c r="AP178" s="5"/>
      <c r="AQ178" s="5"/>
      <c r="AR178" s="5"/>
      <c r="AS178" s="5"/>
      <c r="AT178" s="5"/>
    </row>
    <row r="179" spans="1:46" ht="12.75" customHeight="1" x14ac:dyDescent="0.2">
      <c r="A179" s="1"/>
      <c r="B179" s="1" t="s">
        <v>160</v>
      </c>
      <c r="C179" s="1"/>
      <c r="D179" s="2"/>
      <c r="E179" s="6" t="s">
        <v>46</v>
      </c>
      <c r="F179" s="3">
        <f>(0.56+0.81)/2</f>
        <v>0.68500000000000005</v>
      </c>
      <c r="G179" s="3">
        <f>(25+34)/2</f>
        <v>29.5</v>
      </c>
      <c r="H179" s="3">
        <f>(6.8+9.1)/2</f>
        <v>7.9499999999999993</v>
      </c>
      <c r="I179" s="3"/>
      <c r="J179" s="3">
        <f>(3.4+4.2)/2</f>
        <v>3.8</v>
      </c>
      <c r="K179" s="3"/>
      <c r="L179" s="3"/>
      <c r="M179" s="3"/>
      <c r="N179" s="3"/>
      <c r="O179" s="4"/>
      <c r="P179" s="4"/>
      <c r="Q179" s="5"/>
      <c r="R179" s="5"/>
      <c r="S179" s="5"/>
      <c r="T179" s="5"/>
      <c r="U179" s="4"/>
      <c r="V179" s="5"/>
      <c r="W179" s="5"/>
      <c r="X179" s="5"/>
      <c r="Y179" s="5"/>
      <c r="Z179" s="5"/>
      <c r="AA179" s="5"/>
      <c r="AB179" s="5"/>
      <c r="AC179" s="5"/>
      <c r="AD179" s="5"/>
      <c r="AE179" s="5"/>
      <c r="AF179" s="5"/>
      <c r="AG179" s="5"/>
      <c r="AH179" s="5"/>
      <c r="AI179" s="5"/>
      <c r="AJ179" s="5"/>
      <c r="AK179" s="5"/>
      <c r="AL179" s="5"/>
      <c r="AM179" s="5"/>
      <c r="AN179" s="5"/>
      <c r="AO179" s="5"/>
      <c r="AP179" s="5"/>
      <c r="AQ179" s="5"/>
      <c r="AR179" s="5"/>
      <c r="AS179" s="5"/>
      <c r="AT179" s="5"/>
    </row>
    <row r="180" spans="1:46" ht="12.75" customHeight="1" x14ac:dyDescent="0.2">
      <c r="A180" s="1"/>
      <c r="B180" s="1" t="s">
        <v>161</v>
      </c>
      <c r="C180" s="1"/>
      <c r="D180" s="2"/>
      <c r="E180" s="6" t="s">
        <v>45</v>
      </c>
      <c r="F180" s="3">
        <f>(0.99+1.66)/2</f>
        <v>1.325</v>
      </c>
      <c r="G180" s="3">
        <f>(30+33)/2</f>
        <v>31.5</v>
      </c>
      <c r="H180" s="3">
        <f>(5.5+6.1)/2</f>
        <v>5.8</v>
      </c>
      <c r="I180" s="3"/>
      <c r="J180" s="3">
        <f>(10+11)/2</f>
        <v>10.5</v>
      </c>
      <c r="K180" s="3"/>
      <c r="L180" s="3"/>
      <c r="M180" s="3">
        <f>(45+53)/2</f>
        <v>49</v>
      </c>
      <c r="N180" s="3"/>
      <c r="O180" s="4"/>
      <c r="P180" s="4"/>
      <c r="Q180" s="5"/>
      <c r="R180" s="5"/>
      <c r="S180" s="5"/>
      <c r="T180" s="5"/>
      <c r="U180" s="4"/>
      <c r="V180" s="5"/>
      <c r="W180" s="5"/>
      <c r="X180" s="5"/>
      <c r="Y180" s="5"/>
      <c r="Z180" s="5"/>
      <c r="AA180" s="5"/>
      <c r="AB180" s="5"/>
      <c r="AC180" s="5"/>
      <c r="AD180" s="5"/>
      <c r="AE180" s="5"/>
      <c r="AF180" s="5"/>
      <c r="AG180" s="5"/>
      <c r="AH180" s="5"/>
      <c r="AI180" s="5"/>
      <c r="AJ180" s="5"/>
      <c r="AK180" s="5"/>
      <c r="AL180" s="5"/>
      <c r="AM180" s="5"/>
      <c r="AN180" s="5"/>
      <c r="AO180" s="5"/>
      <c r="AP180" s="5"/>
      <c r="AQ180" s="5"/>
      <c r="AR180" s="5"/>
      <c r="AS180" s="5"/>
      <c r="AT180" s="5"/>
    </row>
    <row r="181" spans="1:46" ht="12.75" customHeight="1" x14ac:dyDescent="0.2">
      <c r="A181" s="1"/>
      <c r="B181" s="1" t="s">
        <v>161</v>
      </c>
      <c r="C181" s="1"/>
      <c r="D181" s="2"/>
      <c r="E181" s="6" t="s">
        <v>46</v>
      </c>
      <c r="F181" s="3">
        <f>(0.83+1.13)/2</f>
        <v>0.98</v>
      </c>
      <c r="G181" s="3">
        <f>(27+34)/2</f>
        <v>30.5</v>
      </c>
      <c r="H181" s="3">
        <f>(4.8+5.9)/2</f>
        <v>5.35</v>
      </c>
      <c r="I181" s="3"/>
      <c r="J181" s="3">
        <f>(19+26)/2</f>
        <v>22.5</v>
      </c>
      <c r="K181" s="3"/>
      <c r="L181" s="3"/>
      <c r="M181" s="3"/>
      <c r="N181" s="3"/>
      <c r="O181" s="4"/>
      <c r="P181" s="4"/>
      <c r="Q181" s="5"/>
      <c r="R181" s="5"/>
      <c r="S181" s="5"/>
      <c r="T181" s="5"/>
      <c r="U181" s="4"/>
      <c r="V181" s="5"/>
      <c r="W181" s="5"/>
      <c r="X181" s="5"/>
      <c r="Y181" s="5"/>
      <c r="Z181" s="5"/>
      <c r="AA181" s="5"/>
      <c r="AB181" s="5"/>
      <c r="AC181" s="5"/>
      <c r="AD181" s="5"/>
      <c r="AE181" s="5"/>
      <c r="AF181" s="5"/>
      <c r="AG181" s="5"/>
      <c r="AH181" s="5"/>
      <c r="AI181" s="5"/>
      <c r="AJ181" s="5"/>
      <c r="AK181" s="5"/>
      <c r="AL181" s="5"/>
      <c r="AM181" s="5"/>
      <c r="AN181" s="5"/>
      <c r="AO181" s="5"/>
      <c r="AP181" s="5"/>
      <c r="AQ181" s="5"/>
      <c r="AR181" s="5"/>
      <c r="AS181" s="5"/>
      <c r="AT181" s="5"/>
    </row>
    <row r="182" spans="1:46" ht="12.75" customHeight="1" x14ac:dyDescent="0.2">
      <c r="A182" s="1"/>
      <c r="B182" s="1" t="s">
        <v>162</v>
      </c>
      <c r="C182" s="1" t="s">
        <v>163</v>
      </c>
      <c r="D182" s="2"/>
      <c r="E182" s="6" t="s">
        <v>45</v>
      </c>
      <c r="F182" s="3">
        <f>(0.84+1.39)/2</f>
        <v>1.115</v>
      </c>
      <c r="G182" s="3">
        <f>(12+19)/2</f>
        <v>15.5</v>
      </c>
      <c r="H182" s="3">
        <f>(9.7+13)/2</f>
        <v>11.35</v>
      </c>
      <c r="I182" s="3"/>
      <c r="J182" s="3">
        <f>(7.7+12)/2</f>
        <v>9.85</v>
      </c>
      <c r="K182" s="3"/>
      <c r="L182" s="3"/>
      <c r="M182" s="3">
        <f>(44+47)/2</f>
        <v>45.5</v>
      </c>
      <c r="N182" s="3"/>
      <c r="O182" s="4"/>
      <c r="P182" s="4"/>
      <c r="Q182" s="5"/>
      <c r="R182" s="5"/>
      <c r="S182" s="5"/>
      <c r="T182" s="5"/>
      <c r="U182" s="4"/>
      <c r="V182" s="5"/>
      <c r="W182" s="5"/>
      <c r="X182" s="5"/>
      <c r="Y182" s="5"/>
      <c r="Z182" s="5"/>
      <c r="AA182" s="5"/>
      <c r="AB182" s="5"/>
      <c r="AC182" s="5"/>
      <c r="AD182" s="5"/>
      <c r="AE182" s="5"/>
      <c r="AF182" s="5"/>
      <c r="AG182" s="5"/>
      <c r="AH182" s="5"/>
      <c r="AI182" s="5"/>
      <c r="AJ182" s="5"/>
      <c r="AK182" s="5"/>
      <c r="AL182" s="5"/>
      <c r="AM182" s="5"/>
      <c r="AN182" s="5"/>
      <c r="AO182" s="5"/>
      <c r="AP182" s="5"/>
      <c r="AQ182" s="5"/>
      <c r="AR182" s="5"/>
      <c r="AS182" s="5"/>
      <c r="AT182" s="5"/>
    </row>
    <row r="183" spans="1:46" ht="12.75" customHeight="1" x14ac:dyDescent="0.2">
      <c r="A183" s="1"/>
      <c r="B183" s="1" t="s">
        <v>162</v>
      </c>
      <c r="C183" s="1" t="s">
        <v>163</v>
      </c>
      <c r="D183" s="2"/>
      <c r="E183" s="6" t="s">
        <v>46</v>
      </c>
      <c r="F183" s="3">
        <f>(0.79+0.83)/2</f>
        <v>0.81</v>
      </c>
      <c r="G183" s="3">
        <f>(19+21)/2</f>
        <v>20</v>
      </c>
      <c r="H183" s="3">
        <f>(9.6+9.8)/2</f>
        <v>9.6999999999999993</v>
      </c>
      <c r="I183" s="3"/>
      <c r="J183" s="3">
        <f>(10.1+10.4)/2</f>
        <v>10.25</v>
      </c>
      <c r="K183" s="3"/>
      <c r="L183" s="3"/>
      <c r="M183" s="3"/>
      <c r="N183" s="3"/>
      <c r="O183" s="4"/>
      <c r="P183" s="4"/>
      <c r="Q183" s="5"/>
      <c r="R183" s="5"/>
      <c r="S183" s="5"/>
      <c r="T183" s="5"/>
      <c r="U183" s="4"/>
      <c r="V183" s="5"/>
      <c r="W183" s="5"/>
      <c r="X183" s="5"/>
      <c r="Y183" s="5"/>
      <c r="Z183" s="5"/>
      <c r="AA183" s="5"/>
      <c r="AB183" s="5"/>
      <c r="AC183" s="5"/>
      <c r="AD183" s="5"/>
      <c r="AE183" s="5"/>
      <c r="AF183" s="5"/>
      <c r="AG183" s="5"/>
      <c r="AH183" s="5"/>
      <c r="AI183" s="5"/>
      <c r="AJ183" s="5"/>
      <c r="AK183" s="5"/>
      <c r="AL183" s="5"/>
      <c r="AM183" s="5"/>
      <c r="AN183" s="5"/>
      <c r="AO183" s="5"/>
      <c r="AP183" s="5"/>
      <c r="AQ183" s="5"/>
      <c r="AR183" s="5"/>
      <c r="AS183" s="5"/>
      <c r="AT183" s="5"/>
    </row>
    <row r="184" spans="1:46" ht="12.75" customHeight="1" x14ac:dyDescent="0.2">
      <c r="A184" s="1"/>
      <c r="B184" s="1" t="s">
        <v>164</v>
      </c>
      <c r="C184" s="1"/>
      <c r="D184" s="2"/>
      <c r="E184" s="6" t="s">
        <v>45</v>
      </c>
      <c r="F184" s="3">
        <f>(0.9+1.16)/2</f>
        <v>1.03</v>
      </c>
      <c r="G184" s="3">
        <f>(20+26)/2</f>
        <v>23</v>
      </c>
      <c r="H184" s="3">
        <f>(4.6+5.8)/2</f>
        <v>5.1999999999999993</v>
      </c>
      <c r="I184" s="3"/>
      <c r="J184" s="3">
        <f>(9+15)/2</f>
        <v>12</v>
      </c>
      <c r="K184" s="3"/>
      <c r="L184" s="3"/>
      <c r="M184" s="3">
        <f>(50+57)/2</f>
        <v>53.5</v>
      </c>
      <c r="N184" s="3"/>
      <c r="O184" s="4"/>
      <c r="P184" s="4"/>
      <c r="Q184" s="5"/>
      <c r="R184" s="5"/>
      <c r="S184" s="5"/>
      <c r="T184" s="5"/>
      <c r="U184" s="4"/>
      <c r="V184" s="5"/>
      <c r="W184" s="5"/>
      <c r="X184" s="5"/>
      <c r="Y184" s="5"/>
      <c r="Z184" s="5"/>
      <c r="AA184" s="5"/>
      <c r="AB184" s="5"/>
      <c r="AC184" s="5"/>
      <c r="AD184" s="5"/>
      <c r="AE184" s="5"/>
      <c r="AF184" s="5"/>
      <c r="AG184" s="5"/>
      <c r="AH184" s="5"/>
      <c r="AI184" s="5"/>
      <c r="AJ184" s="5"/>
      <c r="AK184" s="5"/>
      <c r="AL184" s="5"/>
      <c r="AM184" s="5"/>
      <c r="AN184" s="5"/>
      <c r="AO184" s="5"/>
      <c r="AP184" s="5"/>
      <c r="AQ184" s="5"/>
      <c r="AR184" s="5"/>
      <c r="AS184" s="5"/>
      <c r="AT184" s="5"/>
    </row>
    <row r="185" spans="1:46" ht="12.75" customHeight="1" x14ac:dyDescent="0.2">
      <c r="A185" s="1"/>
      <c r="B185" s="1" t="s">
        <v>164</v>
      </c>
      <c r="C185" s="1"/>
      <c r="D185" s="2"/>
      <c r="E185" s="6" t="s">
        <v>46</v>
      </c>
      <c r="F185" s="3">
        <f>(0.7+0.9)/2</f>
        <v>0.8</v>
      </c>
      <c r="G185" s="3">
        <f>(20+28)/2</f>
        <v>24</v>
      </c>
      <c r="H185" s="3">
        <f>(4.7+5)/2</f>
        <v>4.8499999999999996</v>
      </c>
      <c r="I185" s="3"/>
      <c r="J185" s="3">
        <f>(14+17)/2</f>
        <v>15.5</v>
      </c>
      <c r="K185" s="3"/>
      <c r="L185" s="3"/>
      <c r="M185" s="3"/>
      <c r="N185" s="3"/>
      <c r="O185" s="4"/>
      <c r="P185" s="4"/>
      <c r="Q185" s="5"/>
      <c r="R185" s="5"/>
      <c r="S185" s="5"/>
      <c r="T185" s="5"/>
      <c r="U185" s="4"/>
      <c r="V185" s="5"/>
      <c r="W185" s="5"/>
      <c r="X185" s="5"/>
      <c r="Y185" s="5"/>
      <c r="Z185" s="5"/>
      <c r="AA185" s="5"/>
      <c r="AB185" s="5"/>
      <c r="AC185" s="5"/>
      <c r="AD185" s="5"/>
      <c r="AE185" s="5"/>
      <c r="AF185" s="5"/>
      <c r="AG185" s="5"/>
      <c r="AH185" s="5"/>
      <c r="AI185" s="5"/>
      <c r="AJ185" s="5"/>
      <c r="AK185" s="5"/>
      <c r="AL185" s="5"/>
      <c r="AM185" s="5"/>
      <c r="AN185" s="5"/>
      <c r="AO185" s="5"/>
      <c r="AP185" s="5"/>
      <c r="AQ185" s="5"/>
      <c r="AR185" s="5"/>
      <c r="AS185" s="5"/>
      <c r="AT185" s="5"/>
    </row>
    <row r="186" spans="1:46" ht="12.75" customHeight="1" x14ac:dyDescent="0.2">
      <c r="A186" s="1"/>
      <c r="B186" s="1" t="s">
        <v>165</v>
      </c>
      <c r="C186" s="1"/>
      <c r="D186" s="2"/>
      <c r="E186" s="6" t="s">
        <v>45</v>
      </c>
      <c r="F186" s="3">
        <f>(1.11+1.55)/2</f>
        <v>1.33</v>
      </c>
      <c r="G186" s="3">
        <f>(18+23)/2</f>
        <v>20.5</v>
      </c>
      <c r="H186" s="3">
        <f>(4.2+6.2)/2</f>
        <v>5.2</v>
      </c>
      <c r="I186" s="3"/>
      <c r="J186" s="3">
        <f>(3.3+5.9)/2</f>
        <v>4.5999999999999996</v>
      </c>
      <c r="K186" s="3"/>
      <c r="L186" s="3"/>
      <c r="M186" s="3">
        <v>41</v>
      </c>
      <c r="N186" s="3"/>
      <c r="O186" s="4"/>
      <c r="P186" s="4"/>
      <c r="Q186" s="5"/>
      <c r="R186" s="5"/>
      <c r="S186" s="5"/>
      <c r="T186" s="5"/>
      <c r="U186" s="4"/>
      <c r="V186" s="5"/>
      <c r="W186" s="5"/>
      <c r="X186" s="5"/>
      <c r="Y186" s="5"/>
      <c r="Z186" s="5"/>
      <c r="AA186" s="5"/>
      <c r="AB186" s="5"/>
      <c r="AC186" s="5"/>
      <c r="AD186" s="5"/>
      <c r="AE186" s="5"/>
      <c r="AF186" s="5"/>
      <c r="AG186" s="5"/>
      <c r="AH186" s="5"/>
      <c r="AI186" s="5"/>
      <c r="AJ186" s="5"/>
      <c r="AK186" s="5"/>
      <c r="AL186" s="5"/>
      <c r="AM186" s="5"/>
      <c r="AN186" s="5"/>
      <c r="AO186" s="5"/>
      <c r="AP186" s="5"/>
      <c r="AQ186" s="5"/>
      <c r="AR186" s="5"/>
      <c r="AS186" s="5"/>
      <c r="AT186" s="5"/>
    </row>
    <row r="187" spans="1:46" ht="12.75" customHeight="1" x14ac:dyDescent="0.2">
      <c r="A187" s="1"/>
      <c r="B187" s="1" t="s">
        <v>165</v>
      </c>
      <c r="C187" s="1"/>
      <c r="D187" s="2"/>
      <c r="E187" s="6" t="s">
        <v>46</v>
      </c>
      <c r="F187" s="3">
        <f>(0.97+1.15)/2</f>
        <v>1.06</v>
      </c>
      <c r="G187" s="3">
        <f>(19+20)/2</f>
        <v>19.5</v>
      </c>
      <c r="H187" s="3">
        <f>(5+6.6)/2</f>
        <v>5.8</v>
      </c>
      <c r="I187" s="3"/>
      <c r="J187" s="3">
        <f>(4+4.6)/2</f>
        <v>4.3</v>
      </c>
      <c r="K187" s="3"/>
      <c r="L187" s="3"/>
      <c r="M187" s="3"/>
      <c r="N187" s="3"/>
      <c r="O187" s="4"/>
      <c r="P187" s="4"/>
      <c r="Q187" s="5">
        <v>39</v>
      </c>
      <c r="R187" s="5">
        <v>28</v>
      </c>
      <c r="S187" s="5"/>
      <c r="T187" s="5"/>
      <c r="U187" s="4"/>
      <c r="V187" s="5"/>
      <c r="W187" s="5"/>
      <c r="X187" s="5"/>
      <c r="Y187" s="5"/>
      <c r="Z187" s="5"/>
      <c r="AA187" s="5"/>
      <c r="AB187" s="5"/>
      <c r="AC187" s="5"/>
      <c r="AD187" s="5"/>
      <c r="AE187" s="5"/>
      <c r="AF187" s="5"/>
      <c r="AG187" s="5"/>
      <c r="AH187" s="5"/>
      <c r="AI187" s="5"/>
      <c r="AJ187" s="5"/>
      <c r="AK187" s="5"/>
      <c r="AL187" s="5"/>
      <c r="AM187" s="5"/>
      <c r="AN187" s="5"/>
      <c r="AO187" s="5"/>
      <c r="AP187" s="5"/>
      <c r="AQ187" s="5"/>
      <c r="AR187" s="5"/>
      <c r="AS187" s="5"/>
      <c r="AT187" s="5"/>
    </row>
    <row r="188" spans="1:46" ht="12.75" customHeight="1" x14ac:dyDescent="0.2">
      <c r="A188" s="1"/>
      <c r="B188" s="1" t="s">
        <v>166</v>
      </c>
      <c r="C188" s="1"/>
      <c r="D188" s="2"/>
      <c r="E188" s="6" t="s">
        <v>45</v>
      </c>
      <c r="F188" s="3">
        <f>(0.81+1.02)/2</f>
        <v>0.91500000000000004</v>
      </c>
      <c r="G188" s="3">
        <f>(21+23)/2</f>
        <v>22</v>
      </c>
      <c r="H188" s="3">
        <f>(6.3+7.3)/2</f>
        <v>6.8</v>
      </c>
      <c r="I188" s="3"/>
      <c r="J188" s="3">
        <f>(12+14)/2</f>
        <v>13</v>
      </c>
      <c r="K188" s="3"/>
      <c r="L188" s="3"/>
      <c r="M188" s="3">
        <f>(50+57)/2</f>
        <v>53.5</v>
      </c>
      <c r="N188" s="3"/>
      <c r="O188" s="4"/>
      <c r="P188" s="4"/>
      <c r="Q188" s="5"/>
      <c r="R188" s="5"/>
      <c r="S188" s="5"/>
      <c r="T188" s="5"/>
      <c r="U188" s="4"/>
      <c r="V188" s="5"/>
      <c r="W188" s="5"/>
      <c r="X188" s="5"/>
      <c r="Y188" s="5"/>
      <c r="Z188" s="5"/>
      <c r="AA188" s="5"/>
      <c r="AB188" s="5"/>
      <c r="AC188" s="5"/>
      <c r="AD188" s="5"/>
      <c r="AE188" s="5"/>
      <c r="AF188" s="5"/>
      <c r="AG188" s="5"/>
      <c r="AH188" s="5"/>
      <c r="AI188" s="5"/>
      <c r="AJ188" s="5"/>
      <c r="AK188" s="5"/>
      <c r="AL188" s="5"/>
      <c r="AM188" s="5"/>
      <c r="AN188" s="5"/>
      <c r="AO188" s="5"/>
      <c r="AP188" s="5"/>
      <c r="AQ188" s="5"/>
      <c r="AR188" s="5"/>
      <c r="AS188" s="5"/>
      <c r="AT188" s="5"/>
    </row>
    <row r="189" spans="1:46" ht="12.75" customHeight="1" x14ac:dyDescent="0.2">
      <c r="A189" s="1"/>
      <c r="B189" s="1" t="s">
        <v>166</v>
      </c>
      <c r="C189" s="1"/>
      <c r="D189" s="2"/>
      <c r="E189" s="6" t="s">
        <v>46</v>
      </c>
      <c r="F189" s="3">
        <f>(0.86+0.96)/2</f>
        <v>0.90999999999999992</v>
      </c>
      <c r="G189" s="3">
        <f>(19+27)/2</f>
        <v>23</v>
      </c>
      <c r="H189" s="3">
        <f>(6.7+6.8)/2</f>
        <v>6.75</v>
      </c>
      <c r="I189" s="3"/>
      <c r="J189" s="3">
        <f>(22+27)/2</f>
        <v>24.5</v>
      </c>
      <c r="K189" s="3"/>
      <c r="L189" s="3"/>
      <c r="M189" s="3"/>
      <c r="N189" s="3"/>
      <c r="O189" s="4"/>
      <c r="P189" s="4"/>
      <c r="Q189" s="5"/>
      <c r="R189" s="5"/>
      <c r="S189" s="5"/>
      <c r="T189" s="5"/>
      <c r="U189" s="4"/>
      <c r="V189" s="5"/>
      <c r="W189" s="5"/>
      <c r="X189" s="5"/>
      <c r="Y189" s="5"/>
      <c r="Z189" s="5"/>
      <c r="AA189" s="5"/>
      <c r="AB189" s="5"/>
      <c r="AC189" s="5"/>
      <c r="AD189" s="5"/>
      <c r="AE189" s="5"/>
      <c r="AF189" s="5"/>
      <c r="AG189" s="5"/>
      <c r="AH189" s="5"/>
      <c r="AI189" s="5"/>
      <c r="AJ189" s="5"/>
      <c r="AK189" s="5"/>
      <c r="AL189" s="5"/>
      <c r="AM189" s="5"/>
      <c r="AN189" s="5"/>
      <c r="AO189" s="5"/>
      <c r="AP189" s="5"/>
      <c r="AQ189" s="5"/>
      <c r="AR189" s="5"/>
      <c r="AS189" s="5"/>
      <c r="AT189" s="5"/>
    </row>
    <row r="190" spans="1:46" ht="12.75" customHeight="1" x14ac:dyDescent="0.2">
      <c r="A190" s="1"/>
      <c r="B190" s="1" t="s">
        <v>167</v>
      </c>
      <c r="C190" s="1"/>
      <c r="D190" s="2"/>
      <c r="E190" s="6" t="s">
        <v>45</v>
      </c>
      <c r="F190" s="3">
        <v>1.4</v>
      </c>
      <c r="G190" s="3">
        <v>40</v>
      </c>
      <c r="H190" s="3">
        <v>5.8</v>
      </c>
      <c r="I190" s="3"/>
      <c r="J190" s="3">
        <v>3.8</v>
      </c>
      <c r="K190" s="3"/>
      <c r="L190" s="3"/>
      <c r="M190" s="3">
        <v>57</v>
      </c>
      <c r="N190" s="3"/>
      <c r="O190" s="4"/>
      <c r="P190" s="4"/>
      <c r="Q190" s="5"/>
      <c r="R190" s="5"/>
      <c r="S190" s="5"/>
      <c r="T190" s="5"/>
      <c r="U190" s="4"/>
      <c r="V190" s="5"/>
      <c r="W190" s="5"/>
      <c r="X190" s="5"/>
      <c r="Y190" s="5"/>
      <c r="Z190" s="5"/>
      <c r="AA190" s="5"/>
      <c r="AB190" s="5"/>
      <c r="AC190" s="5"/>
      <c r="AD190" s="5"/>
      <c r="AE190" s="5"/>
      <c r="AF190" s="5"/>
      <c r="AG190" s="5"/>
      <c r="AH190" s="5"/>
      <c r="AI190" s="5"/>
      <c r="AJ190" s="5"/>
      <c r="AK190" s="5"/>
      <c r="AL190" s="5"/>
      <c r="AM190" s="5"/>
      <c r="AN190" s="5"/>
      <c r="AO190" s="5"/>
      <c r="AP190" s="5"/>
      <c r="AQ190" s="5"/>
      <c r="AR190" s="5"/>
      <c r="AS190" s="5"/>
      <c r="AT190" s="5"/>
    </row>
    <row r="191" spans="1:46" ht="12.75" customHeight="1" x14ac:dyDescent="0.2">
      <c r="A191" s="1"/>
      <c r="B191" s="1" t="s">
        <v>167</v>
      </c>
      <c r="C191" s="1"/>
      <c r="D191" s="2"/>
      <c r="E191" s="6" t="s">
        <v>46</v>
      </c>
      <c r="F191" s="3">
        <v>1.25</v>
      </c>
      <c r="G191" s="3">
        <v>35</v>
      </c>
      <c r="H191" s="3">
        <v>5.3</v>
      </c>
      <c r="I191" s="3"/>
      <c r="J191" s="3">
        <v>4</v>
      </c>
      <c r="K191" s="3"/>
      <c r="L191" s="3"/>
      <c r="M191" s="3"/>
      <c r="N191" s="3"/>
      <c r="O191" s="4"/>
      <c r="P191" s="4"/>
      <c r="Q191" s="5"/>
      <c r="R191" s="5"/>
      <c r="S191" s="5"/>
      <c r="T191" s="5"/>
      <c r="U191" s="4"/>
      <c r="V191" s="5"/>
      <c r="W191" s="5"/>
      <c r="X191" s="5"/>
      <c r="Y191" s="5"/>
      <c r="Z191" s="5"/>
      <c r="AA191" s="5"/>
      <c r="AB191" s="5"/>
      <c r="AC191" s="5"/>
      <c r="AD191" s="5"/>
      <c r="AE191" s="5"/>
      <c r="AF191" s="5"/>
      <c r="AG191" s="5"/>
      <c r="AH191" s="5"/>
      <c r="AI191" s="5"/>
      <c r="AJ191" s="5"/>
      <c r="AK191" s="5"/>
      <c r="AL191" s="5"/>
      <c r="AM191" s="5"/>
      <c r="AN191" s="5"/>
      <c r="AO191" s="5"/>
      <c r="AP191" s="5"/>
      <c r="AQ191" s="5"/>
      <c r="AR191" s="5"/>
      <c r="AS191" s="5"/>
      <c r="AT191" s="5"/>
    </row>
    <row r="192" spans="1:46" ht="12.75" customHeight="1" x14ac:dyDescent="0.2">
      <c r="A192" s="1"/>
      <c r="B192" s="1" t="s">
        <v>168</v>
      </c>
      <c r="C192" s="1" t="s">
        <v>169</v>
      </c>
      <c r="D192" s="2"/>
      <c r="E192" s="6" t="s">
        <v>45</v>
      </c>
      <c r="F192" s="3">
        <f>(1+1.3)/2</f>
        <v>1.1499999999999999</v>
      </c>
      <c r="G192" s="3">
        <f>(33+35)/2</f>
        <v>34</v>
      </c>
      <c r="H192" s="3">
        <f>(6+7)/2</f>
        <v>6.5</v>
      </c>
      <c r="I192" s="3"/>
      <c r="J192" s="3">
        <f t="shared" ref="J192:J193" si="7">(3+4)/2</f>
        <v>3.5</v>
      </c>
      <c r="K192" s="3"/>
      <c r="L192" s="3"/>
      <c r="M192" s="3">
        <f>(40+42)/2</f>
        <v>41</v>
      </c>
      <c r="N192" s="3"/>
      <c r="O192" s="4"/>
      <c r="P192" s="4"/>
      <c r="Q192" s="5"/>
      <c r="R192" s="5"/>
      <c r="S192" s="5"/>
      <c r="T192" s="5"/>
      <c r="U192" s="4"/>
      <c r="V192" s="5"/>
      <c r="W192" s="5"/>
      <c r="X192" s="5"/>
      <c r="Y192" s="5"/>
      <c r="Z192" s="5"/>
      <c r="AA192" s="5"/>
      <c r="AB192" s="5"/>
      <c r="AC192" s="5"/>
      <c r="AD192" s="5"/>
      <c r="AE192" s="5"/>
      <c r="AF192" s="5"/>
      <c r="AG192" s="5"/>
      <c r="AH192" s="5"/>
      <c r="AI192" s="5"/>
      <c r="AJ192" s="5"/>
      <c r="AK192" s="5"/>
      <c r="AL192" s="5"/>
      <c r="AM192" s="5"/>
      <c r="AN192" s="5"/>
      <c r="AO192" s="5"/>
      <c r="AP192" s="5"/>
      <c r="AQ192" s="5"/>
      <c r="AR192" s="5"/>
      <c r="AS192" s="5"/>
      <c r="AT192" s="5"/>
    </row>
    <row r="193" spans="1:46" ht="12.75" customHeight="1" x14ac:dyDescent="0.2">
      <c r="A193" s="1"/>
      <c r="B193" s="1" t="s">
        <v>168</v>
      </c>
      <c r="C193" s="1" t="s">
        <v>169</v>
      </c>
      <c r="D193" s="2"/>
      <c r="E193" s="6" t="s">
        <v>46</v>
      </c>
      <c r="F193" s="3">
        <f>(0.75+1.3)/2</f>
        <v>1.0249999999999999</v>
      </c>
      <c r="G193" s="3">
        <f>(30+32)/2</f>
        <v>31</v>
      </c>
      <c r="H193" s="3">
        <f>(5+6)/2</f>
        <v>5.5</v>
      </c>
      <c r="I193" s="3"/>
      <c r="J193" s="3">
        <f t="shared" si="7"/>
        <v>3.5</v>
      </c>
      <c r="K193" s="3"/>
      <c r="L193" s="3"/>
      <c r="M193" s="3"/>
      <c r="N193" s="3"/>
      <c r="O193" s="4"/>
      <c r="P193" s="4"/>
      <c r="Q193" s="5"/>
      <c r="R193" s="5"/>
      <c r="S193" s="5"/>
      <c r="T193" s="5"/>
      <c r="U193" s="4"/>
      <c r="V193" s="5"/>
      <c r="W193" s="5"/>
      <c r="X193" s="5"/>
      <c r="Y193" s="5"/>
      <c r="Z193" s="5"/>
      <c r="AA193" s="5"/>
      <c r="AB193" s="5"/>
      <c r="AC193" s="5"/>
      <c r="AD193" s="5"/>
      <c r="AE193" s="5"/>
      <c r="AF193" s="5"/>
      <c r="AG193" s="5"/>
      <c r="AH193" s="5"/>
      <c r="AI193" s="5"/>
      <c r="AJ193" s="5"/>
      <c r="AK193" s="5"/>
      <c r="AL193" s="5"/>
      <c r="AM193" s="5"/>
      <c r="AN193" s="5"/>
      <c r="AO193" s="5"/>
      <c r="AP193" s="5"/>
      <c r="AQ193" s="5"/>
      <c r="AR193" s="5"/>
      <c r="AS193" s="5"/>
      <c r="AT193" s="5"/>
    </row>
    <row r="194" spans="1:46" ht="12.75" customHeight="1" x14ac:dyDescent="0.2">
      <c r="A194" s="1"/>
      <c r="B194" s="1" t="s">
        <v>170</v>
      </c>
      <c r="C194" s="1" t="s">
        <v>171</v>
      </c>
      <c r="D194" s="2"/>
      <c r="E194" s="6" t="s">
        <v>45</v>
      </c>
      <c r="F194" s="3">
        <f>(1+1.34)/2</f>
        <v>1.17</v>
      </c>
      <c r="G194" s="3">
        <f>(29+33)/2</f>
        <v>31</v>
      </c>
      <c r="H194" s="3">
        <f>(6+6.4)/2</f>
        <v>6.2</v>
      </c>
      <c r="I194" s="3"/>
      <c r="J194" s="3">
        <f>(4+4.2)/2</f>
        <v>4.0999999999999996</v>
      </c>
      <c r="K194" s="3"/>
      <c r="L194" s="3"/>
      <c r="M194" s="3">
        <f>(45+47)/2</f>
        <v>46</v>
      </c>
      <c r="N194" s="3"/>
      <c r="O194" s="4"/>
      <c r="P194" s="4"/>
      <c r="Q194" s="5"/>
      <c r="R194" s="5"/>
      <c r="S194" s="5"/>
      <c r="T194" s="5"/>
      <c r="U194" s="4"/>
      <c r="V194" s="5"/>
      <c r="W194" s="5"/>
      <c r="X194" s="5"/>
      <c r="Y194" s="5"/>
      <c r="Z194" s="5"/>
      <c r="AA194" s="5"/>
      <c r="AB194" s="5"/>
      <c r="AC194" s="5"/>
      <c r="AD194" s="5"/>
      <c r="AE194" s="5"/>
      <c r="AF194" s="5"/>
      <c r="AG194" s="5"/>
      <c r="AH194" s="5"/>
      <c r="AI194" s="5"/>
      <c r="AJ194" s="5"/>
      <c r="AK194" s="5"/>
      <c r="AL194" s="5"/>
      <c r="AM194" s="5"/>
      <c r="AN194" s="5"/>
      <c r="AO194" s="5"/>
      <c r="AP194" s="5"/>
      <c r="AQ194" s="5"/>
      <c r="AR194" s="5"/>
      <c r="AS194" s="5"/>
      <c r="AT194" s="5"/>
    </row>
    <row r="195" spans="1:46" ht="12.75" customHeight="1" x14ac:dyDescent="0.2">
      <c r="A195" s="1"/>
      <c r="B195" s="1" t="s">
        <v>170</v>
      </c>
      <c r="C195" s="1" t="s">
        <v>171</v>
      </c>
      <c r="D195" s="2"/>
      <c r="E195" s="6" t="s">
        <v>46</v>
      </c>
      <c r="F195" s="3">
        <f>(0.86+0.95)/2</f>
        <v>0.90500000000000003</v>
      </c>
      <c r="G195" s="3">
        <f>(35+37)/2</f>
        <v>36</v>
      </c>
      <c r="H195" s="3">
        <f>(7+7.5)/2</f>
        <v>7.25</v>
      </c>
      <c r="I195" s="3"/>
      <c r="J195" s="3">
        <f>(4.7+4.8)/2</f>
        <v>4.75</v>
      </c>
      <c r="K195" s="3"/>
      <c r="L195" s="3"/>
      <c r="M195" s="3"/>
      <c r="N195" s="3"/>
      <c r="O195" s="4"/>
      <c r="P195" s="4"/>
      <c r="Q195" s="5"/>
      <c r="R195" s="5"/>
      <c r="S195" s="5"/>
      <c r="T195" s="5"/>
      <c r="U195" s="4"/>
      <c r="V195" s="5"/>
      <c r="W195" s="5"/>
      <c r="X195" s="5"/>
      <c r="Y195" s="5"/>
      <c r="Z195" s="5"/>
      <c r="AA195" s="5"/>
      <c r="AB195" s="5"/>
      <c r="AC195" s="5"/>
      <c r="AD195" s="5"/>
      <c r="AE195" s="5"/>
      <c r="AF195" s="5"/>
      <c r="AG195" s="5"/>
      <c r="AH195" s="5"/>
      <c r="AI195" s="5"/>
      <c r="AJ195" s="5"/>
      <c r="AK195" s="5"/>
      <c r="AL195" s="5"/>
      <c r="AM195" s="5"/>
      <c r="AN195" s="5"/>
      <c r="AO195" s="5"/>
      <c r="AP195" s="5"/>
      <c r="AQ195" s="5"/>
      <c r="AR195" s="5"/>
      <c r="AS195" s="5"/>
      <c r="AT195" s="5"/>
    </row>
    <row r="196" spans="1:46" ht="12.75" customHeight="1" x14ac:dyDescent="0.2">
      <c r="A196" s="1"/>
      <c r="B196" s="1" t="s">
        <v>172</v>
      </c>
      <c r="C196" s="1" t="s">
        <v>173</v>
      </c>
      <c r="D196" s="2"/>
      <c r="E196" s="6" t="s">
        <v>45</v>
      </c>
      <c r="F196" s="3">
        <f>(0.78+1.1)/2</f>
        <v>0.94000000000000006</v>
      </c>
      <c r="G196" s="3">
        <f>(18+27)/2</f>
        <v>22.5</v>
      </c>
      <c r="H196" s="3">
        <f>(3.6+5.2)/2</f>
        <v>4.4000000000000004</v>
      </c>
      <c r="I196" s="3"/>
      <c r="J196" s="3">
        <f>(9+10)/2</f>
        <v>9.5</v>
      </c>
      <c r="K196" s="3"/>
      <c r="L196" s="3"/>
      <c r="M196" s="3">
        <f>(57+58)/2</f>
        <v>57.5</v>
      </c>
      <c r="N196" s="3"/>
      <c r="O196" s="4"/>
      <c r="P196" s="4"/>
      <c r="Q196" s="5"/>
      <c r="R196" s="5"/>
      <c r="S196" s="5"/>
      <c r="T196" s="5"/>
      <c r="U196" s="4"/>
      <c r="V196" s="5"/>
      <c r="W196" s="5"/>
      <c r="X196" s="5"/>
      <c r="Y196" s="5"/>
      <c r="Z196" s="5"/>
      <c r="AA196" s="5"/>
      <c r="AB196" s="5"/>
      <c r="AC196" s="5"/>
      <c r="AD196" s="5"/>
      <c r="AE196" s="5"/>
      <c r="AF196" s="5"/>
      <c r="AG196" s="5"/>
      <c r="AH196" s="5"/>
      <c r="AI196" s="5"/>
      <c r="AJ196" s="5"/>
      <c r="AK196" s="5"/>
      <c r="AL196" s="5"/>
      <c r="AM196" s="5"/>
      <c r="AN196" s="5"/>
      <c r="AO196" s="5"/>
      <c r="AP196" s="5"/>
      <c r="AQ196" s="5"/>
      <c r="AR196" s="5"/>
      <c r="AS196" s="5"/>
      <c r="AT196" s="5"/>
    </row>
    <row r="197" spans="1:46" ht="12.75" customHeight="1" x14ac:dyDescent="0.2">
      <c r="A197" s="1"/>
      <c r="B197" s="1" t="s">
        <v>172</v>
      </c>
      <c r="C197" s="1" t="s">
        <v>173</v>
      </c>
      <c r="D197" s="2"/>
      <c r="E197" s="6" t="s">
        <v>46</v>
      </c>
      <c r="F197" s="3">
        <f>(0.77+0.98)/2</f>
        <v>0.875</v>
      </c>
      <c r="G197" s="3">
        <f>(17+26)/2</f>
        <v>21.5</v>
      </c>
      <c r="H197" s="3">
        <f>(4.2+5.4)/2</f>
        <v>4.8000000000000007</v>
      </c>
      <c r="I197" s="3"/>
      <c r="J197" s="3">
        <f>(23+29)/2</f>
        <v>26</v>
      </c>
      <c r="K197" s="3"/>
      <c r="L197" s="3"/>
      <c r="M197" s="3"/>
      <c r="N197" s="3"/>
      <c r="O197" s="4"/>
      <c r="P197" s="4"/>
      <c r="Q197" s="5"/>
      <c r="R197" s="5"/>
      <c r="S197" s="5"/>
      <c r="T197" s="5"/>
      <c r="U197" s="4"/>
      <c r="V197" s="5"/>
      <c r="W197" s="5"/>
      <c r="X197" s="5"/>
      <c r="Y197" s="5"/>
      <c r="Z197" s="5"/>
      <c r="AA197" s="5"/>
      <c r="AB197" s="5"/>
      <c r="AC197" s="5"/>
      <c r="AD197" s="5"/>
      <c r="AE197" s="5"/>
      <c r="AF197" s="5"/>
      <c r="AG197" s="5"/>
      <c r="AH197" s="5"/>
      <c r="AI197" s="5"/>
      <c r="AJ197" s="5"/>
      <c r="AK197" s="5"/>
      <c r="AL197" s="5"/>
      <c r="AM197" s="5"/>
      <c r="AN197" s="5"/>
      <c r="AO197" s="5"/>
      <c r="AP197" s="5"/>
      <c r="AQ197" s="5"/>
      <c r="AR197" s="5"/>
      <c r="AS197" s="5"/>
      <c r="AT197" s="5"/>
    </row>
    <row r="198" spans="1:46" ht="12.75" customHeight="1" x14ac:dyDescent="0.2">
      <c r="A198" s="1"/>
      <c r="B198" s="1" t="s">
        <v>174</v>
      </c>
      <c r="C198" s="1" t="s">
        <v>175</v>
      </c>
      <c r="D198" s="2"/>
      <c r="E198" s="6" t="s">
        <v>45</v>
      </c>
      <c r="F198" s="3">
        <v>1</v>
      </c>
      <c r="G198" s="3">
        <v>25</v>
      </c>
      <c r="H198" s="3">
        <v>6</v>
      </c>
      <c r="I198" s="3"/>
      <c r="J198" s="3">
        <v>5.8</v>
      </c>
      <c r="K198" s="3"/>
      <c r="L198" s="3"/>
      <c r="M198" s="3">
        <v>45</v>
      </c>
      <c r="N198" s="3"/>
      <c r="O198" s="4"/>
      <c r="P198" s="4"/>
      <c r="Q198" s="5"/>
      <c r="R198" s="5"/>
      <c r="S198" s="5"/>
      <c r="T198" s="5"/>
      <c r="U198" s="4"/>
      <c r="V198" s="5"/>
      <c r="W198" s="5"/>
      <c r="X198" s="5"/>
      <c r="Y198" s="5"/>
      <c r="Z198" s="5"/>
      <c r="AA198" s="5"/>
      <c r="AB198" s="5"/>
      <c r="AC198" s="5"/>
      <c r="AD198" s="5"/>
      <c r="AE198" s="5"/>
      <c r="AF198" s="5"/>
      <c r="AG198" s="5"/>
      <c r="AH198" s="5"/>
      <c r="AI198" s="5"/>
      <c r="AJ198" s="5"/>
      <c r="AK198" s="5"/>
      <c r="AL198" s="5"/>
      <c r="AM198" s="5"/>
      <c r="AN198" s="5"/>
      <c r="AO198" s="5"/>
      <c r="AP198" s="5"/>
      <c r="AQ198" s="5"/>
      <c r="AR198" s="5"/>
      <c r="AS198" s="5"/>
      <c r="AT198" s="5"/>
    </row>
    <row r="199" spans="1:46" ht="12.75" customHeight="1" x14ac:dyDescent="0.2">
      <c r="A199" s="1"/>
      <c r="B199" s="1" t="s">
        <v>174</v>
      </c>
      <c r="C199" s="1" t="s">
        <v>175</v>
      </c>
      <c r="D199" s="2"/>
      <c r="E199" s="6" t="s">
        <v>46</v>
      </c>
      <c r="F199" s="3">
        <v>1</v>
      </c>
      <c r="G199" s="3">
        <v>27</v>
      </c>
      <c r="H199" s="3">
        <v>6.3</v>
      </c>
      <c r="I199" s="3"/>
      <c r="J199" s="3">
        <v>11</v>
      </c>
      <c r="K199" s="3"/>
      <c r="L199" s="3"/>
      <c r="M199" s="3"/>
      <c r="N199" s="3"/>
      <c r="O199" s="4"/>
      <c r="P199" s="4"/>
      <c r="Q199" s="5"/>
      <c r="R199" s="5"/>
      <c r="S199" s="5"/>
      <c r="T199" s="5"/>
      <c r="U199" s="4"/>
      <c r="V199" s="5"/>
      <c r="W199" s="5"/>
      <c r="X199" s="5"/>
      <c r="Y199" s="5"/>
      <c r="Z199" s="5"/>
      <c r="AA199" s="5"/>
      <c r="AB199" s="5"/>
      <c r="AC199" s="5"/>
      <c r="AD199" s="5"/>
      <c r="AE199" s="5"/>
      <c r="AF199" s="5"/>
      <c r="AG199" s="5"/>
      <c r="AH199" s="5"/>
      <c r="AI199" s="5"/>
      <c r="AJ199" s="5"/>
      <c r="AK199" s="5"/>
      <c r="AL199" s="5"/>
      <c r="AM199" s="5"/>
      <c r="AN199" s="5"/>
      <c r="AO199" s="5"/>
      <c r="AP199" s="5"/>
      <c r="AQ199" s="5"/>
      <c r="AR199" s="5"/>
      <c r="AS199" s="5"/>
      <c r="AT199" s="5"/>
    </row>
    <row r="200" spans="1:46" ht="12.75" customHeight="1" x14ac:dyDescent="0.2">
      <c r="A200" s="1"/>
      <c r="B200" s="1" t="s">
        <v>176</v>
      </c>
      <c r="C200" s="1"/>
      <c r="D200" s="2"/>
      <c r="E200" s="6" t="s">
        <v>45</v>
      </c>
      <c r="F200" s="3">
        <f>(0.82+0.96)/2</f>
        <v>0.8899999999999999</v>
      </c>
      <c r="G200" s="3">
        <f>(19+26)/2</f>
        <v>22.5</v>
      </c>
      <c r="H200" s="3">
        <f>(4.8+6.2)/2</f>
        <v>5.5</v>
      </c>
      <c r="I200" s="3"/>
      <c r="J200" s="3">
        <f>(4+7.7)/2</f>
        <v>5.85</v>
      </c>
      <c r="K200" s="3"/>
      <c r="L200" s="3"/>
      <c r="M200" s="3">
        <f>(48+55)/2</f>
        <v>51.5</v>
      </c>
      <c r="N200" s="3"/>
      <c r="O200" s="4"/>
      <c r="P200" s="4"/>
      <c r="Q200" s="5"/>
      <c r="R200" s="5"/>
      <c r="S200" s="5"/>
      <c r="T200" s="5"/>
      <c r="U200" s="4"/>
      <c r="V200" s="5"/>
      <c r="W200" s="5"/>
      <c r="X200" s="5"/>
      <c r="Y200" s="5"/>
      <c r="Z200" s="5"/>
      <c r="AA200" s="5"/>
      <c r="AB200" s="5"/>
      <c r="AC200" s="5"/>
      <c r="AD200" s="5"/>
      <c r="AE200" s="5"/>
      <c r="AF200" s="5"/>
      <c r="AG200" s="5"/>
      <c r="AH200" s="5"/>
      <c r="AI200" s="5"/>
      <c r="AJ200" s="5"/>
      <c r="AK200" s="5"/>
      <c r="AL200" s="5"/>
      <c r="AM200" s="5"/>
      <c r="AN200" s="5"/>
      <c r="AO200" s="5"/>
      <c r="AP200" s="5"/>
      <c r="AQ200" s="5"/>
      <c r="AR200" s="5"/>
      <c r="AS200" s="5"/>
      <c r="AT200" s="5"/>
    </row>
    <row r="201" spans="1:46" ht="12.75" customHeight="1" x14ac:dyDescent="0.2">
      <c r="A201" s="1"/>
      <c r="B201" s="1" t="s">
        <v>176</v>
      </c>
      <c r="C201" s="1"/>
      <c r="D201" s="2"/>
      <c r="E201" s="6" t="s">
        <v>46</v>
      </c>
      <c r="F201" s="3">
        <f>(0.64+0.93)/2</f>
        <v>0.78500000000000003</v>
      </c>
      <c r="G201" s="3">
        <f>(21+26)/2</f>
        <v>23.5</v>
      </c>
      <c r="H201" s="3">
        <f>(4+5)/2</f>
        <v>4.5</v>
      </c>
      <c r="I201" s="3"/>
      <c r="J201" s="3">
        <f>(4.7+10.2)/2</f>
        <v>7.4499999999999993</v>
      </c>
      <c r="K201" s="3"/>
      <c r="L201" s="3"/>
      <c r="M201" s="3"/>
      <c r="N201" s="3"/>
      <c r="O201" s="4"/>
      <c r="P201" s="4"/>
      <c r="Q201" s="5"/>
      <c r="R201" s="5"/>
      <c r="S201" s="5"/>
      <c r="T201" s="5"/>
      <c r="U201" s="4"/>
      <c r="V201" s="5"/>
      <c r="W201" s="5"/>
      <c r="X201" s="5"/>
      <c r="Y201" s="5"/>
      <c r="Z201" s="5"/>
      <c r="AA201" s="5"/>
      <c r="AB201" s="5"/>
      <c r="AC201" s="5"/>
      <c r="AD201" s="5"/>
      <c r="AE201" s="5"/>
      <c r="AF201" s="5"/>
      <c r="AG201" s="5"/>
      <c r="AH201" s="5"/>
      <c r="AI201" s="5"/>
      <c r="AJ201" s="5"/>
      <c r="AK201" s="5"/>
      <c r="AL201" s="5"/>
      <c r="AM201" s="5"/>
      <c r="AN201" s="5"/>
      <c r="AO201" s="5"/>
      <c r="AP201" s="5"/>
      <c r="AQ201" s="5"/>
      <c r="AR201" s="5"/>
      <c r="AS201" s="5"/>
      <c r="AT201" s="5"/>
    </row>
    <row r="202" spans="1:46" ht="12.75" customHeight="1" x14ac:dyDescent="0.2">
      <c r="A202" s="1"/>
      <c r="B202" s="1" t="s">
        <v>177</v>
      </c>
      <c r="C202" s="1" t="s">
        <v>178</v>
      </c>
      <c r="D202" s="2"/>
      <c r="E202" s="6" t="s">
        <v>45</v>
      </c>
      <c r="F202" s="3">
        <f>(0.66+0.81)/2</f>
        <v>0.7350000000000001</v>
      </c>
      <c r="G202" s="3">
        <f>(31+45)/2</f>
        <v>38</v>
      </c>
      <c r="H202" s="3">
        <f>(4.6+5.2)/2</f>
        <v>4.9000000000000004</v>
      </c>
      <c r="I202" s="3"/>
      <c r="J202" s="3">
        <f>(11.2+11.3)/2</f>
        <v>11.25</v>
      </c>
      <c r="K202" s="3"/>
      <c r="L202" s="3"/>
      <c r="M202" s="3">
        <f>(52+55)/2</f>
        <v>53.5</v>
      </c>
      <c r="N202" s="3"/>
      <c r="O202" s="4"/>
      <c r="P202" s="4"/>
      <c r="Q202" s="5"/>
      <c r="R202" s="5"/>
      <c r="S202" s="5"/>
      <c r="T202" s="5"/>
      <c r="U202" s="4"/>
      <c r="V202" s="5"/>
      <c r="W202" s="5"/>
      <c r="X202" s="5"/>
      <c r="Y202" s="5"/>
      <c r="Z202" s="5"/>
      <c r="AA202" s="5"/>
      <c r="AB202" s="5"/>
      <c r="AC202" s="5"/>
      <c r="AD202" s="5"/>
      <c r="AE202" s="5"/>
      <c r="AF202" s="5"/>
      <c r="AG202" s="5"/>
      <c r="AH202" s="5"/>
      <c r="AI202" s="5"/>
      <c r="AJ202" s="5"/>
      <c r="AK202" s="5"/>
      <c r="AL202" s="5"/>
      <c r="AM202" s="5"/>
      <c r="AN202" s="5"/>
      <c r="AO202" s="5"/>
      <c r="AP202" s="5"/>
      <c r="AQ202" s="5"/>
      <c r="AR202" s="5"/>
      <c r="AS202" s="5"/>
      <c r="AT202" s="5"/>
    </row>
    <row r="203" spans="1:46" ht="12.75" customHeight="1" x14ac:dyDescent="0.2">
      <c r="A203" s="1"/>
      <c r="B203" s="1" t="s">
        <v>177</v>
      </c>
      <c r="C203" s="1" t="s">
        <v>178</v>
      </c>
      <c r="D203" s="2"/>
      <c r="E203" s="6" t="s">
        <v>46</v>
      </c>
      <c r="F203" s="3">
        <f>(0.62+0.7)/2</f>
        <v>0.65999999999999992</v>
      </c>
      <c r="G203" s="3">
        <f>(27+32)/2</f>
        <v>29.5</v>
      </c>
      <c r="H203" s="3">
        <f>(4.5+4.8)/2</f>
        <v>4.6500000000000004</v>
      </c>
      <c r="I203" s="3"/>
      <c r="J203" s="3">
        <f>(14.3+14.7)/2</f>
        <v>14.5</v>
      </c>
      <c r="K203" s="3"/>
      <c r="L203" s="3"/>
      <c r="M203" s="3"/>
      <c r="N203" s="3"/>
      <c r="O203" s="4"/>
      <c r="P203" s="4"/>
      <c r="Q203" s="5"/>
      <c r="R203" s="5"/>
      <c r="S203" s="5"/>
      <c r="T203" s="5"/>
      <c r="U203" s="4"/>
      <c r="V203" s="5"/>
      <c r="W203" s="5"/>
      <c r="X203" s="5"/>
      <c r="Y203" s="5"/>
      <c r="Z203" s="5"/>
      <c r="AA203" s="5"/>
      <c r="AB203" s="5"/>
      <c r="AC203" s="5"/>
      <c r="AD203" s="5"/>
      <c r="AE203" s="5"/>
      <c r="AF203" s="5"/>
      <c r="AG203" s="5"/>
      <c r="AH203" s="5"/>
      <c r="AI203" s="5"/>
      <c r="AJ203" s="5"/>
      <c r="AK203" s="5"/>
      <c r="AL203" s="5"/>
      <c r="AM203" s="5"/>
      <c r="AN203" s="5"/>
      <c r="AO203" s="5"/>
      <c r="AP203" s="5"/>
      <c r="AQ203" s="5"/>
      <c r="AR203" s="5"/>
      <c r="AS203" s="5"/>
      <c r="AT203" s="5"/>
    </row>
    <row r="204" spans="1:46" ht="12.75" customHeight="1" x14ac:dyDescent="0.2">
      <c r="A204" s="1"/>
      <c r="B204" s="1" t="s">
        <v>179</v>
      </c>
      <c r="C204" s="1" t="s">
        <v>180</v>
      </c>
      <c r="D204" s="2"/>
      <c r="E204" s="6" t="s">
        <v>45</v>
      </c>
      <c r="F204" s="3">
        <f>(2.2+2.91)/2</f>
        <v>2.5550000000000002</v>
      </c>
      <c r="G204" s="3">
        <f>(14+19)/2</f>
        <v>16.5</v>
      </c>
      <c r="H204" s="3">
        <f>(9.3+10.5)/2</f>
        <v>9.9</v>
      </c>
      <c r="I204" s="3"/>
      <c r="J204" s="3">
        <f>(12+15)/2</f>
        <v>13.5</v>
      </c>
      <c r="K204" s="3"/>
      <c r="L204" s="3"/>
      <c r="M204" s="3">
        <f>(48+51)/2</f>
        <v>49.5</v>
      </c>
      <c r="N204" s="3"/>
      <c r="O204" s="4"/>
      <c r="P204" s="4"/>
      <c r="Q204" s="5"/>
      <c r="R204" s="5"/>
      <c r="S204" s="5"/>
      <c r="T204" s="5"/>
      <c r="U204" s="4"/>
      <c r="V204" s="5"/>
      <c r="W204" s="5"/>
      <c r="X204" s="5"/>
      <c r="Y204" s="5"/>
      <c r="Z204" s="5"/>
      <c r="AA204" s="5"/>
      <c r="AB204" s="5"/>
      <c r="AC204" s="5"/>
      <c r="AD204" s="5"/>
      <c r="AE204" s="5"/>
      <c r="AF204" s="5"/>
      <c r="AG204" s="5"/>
      <c r="AH204" s="5"/>
      <c r="AI204" s="5"/>
      <c r="AJ204" s="5"/>
      <c r="AK204" s="5"/>
      <c r="AL204" s="5"/>
      <c r="AM204" s="5"/>
      <c r="AN204" s="5"/>
      <c r="AO204" s="5"/>
      <c r="AP204" s="5"/>
      <c r="AQ204" s="5"/>
      <c r="AR204" s="5"/>
      <c r="AS204" s="5"/>
      <c r="AT204" s="5"/>
    </row>
    <row r="205" spans="1:46" ht="12.75" customHeight="1" x14ac:dyDescent="0.2">
      <c r="A205" s="1"/>
      <c r="B205" s="1" t="s">
        <v>179</v>
      </c>
      <c r="C205" s="1" t="s">
        <v>180</v>
      </c>
      <c r="D205" s="2"/>
      <c r="E205" s="6" t="s">
        <v>46</v>
      </c>
      <c r="F205" s="3">
        <f>(0.62+0.7)/2</f>
        <v>0.65999999999999992</v>
      </c>
      <c r="G205" s="3">
        <f>(21+25)/2</f>
        <v>23</v>
      </c>
      <c r="H205" s="3">
        <f>(7.3+9.6)/2</f>
        <v>8.4499999999999993</v>
      </c>
      <c r="I205" s="3"/>
      <c r="J205" s="3">
        <f>(21+25)/2</f>
        <v>23</v>
      </c>
      <c r="K205" s="3"/>
      <c r="L205" s="3"/>
      <c r="M205" s="3"/>
      <c r="N205" s="3"/>
      <c r="O205" s="4"/>
      <c r="P205" s="4"/>
      <c r="Q205" s="5"/>
      <c r="R205" s="5"/>
      <c r="S205" s="5"/>
      <c r="T205" s="5"/>
      <c r="U205" s="4"/>
      <c r="V205" s="5"/>
      <c r="W205" s="5"/>
      <c r="X205" s="5"/>
      <c r="Y205" s="5"/>
      <c r="Z205" s="5"/>
      <c r="AA205" s="5"/>
      <c r="AB205" s="5"/>
      <c r="AC205" s="5"/>
      <c r="AD205" s="5"/>
      <c r="AE205" s="5"/>
      <c r="AF205" s="5"/>
      <c r="AG205" s="5"/>
      <c r="AH205" s="5"/>
      <c r="AI205" s="5"/>
      <c r="AJ205" s="5"/>
      <c r="AK205" s="5"/>
      <c r="AL205" s="5"/>
      <c r="AM205" s="5"/>
      <c r="AN205" s="5"/>
      <c r="AO205" s="5"/>
      <c r="AP205" s="5"/>
      <c r="AQ205" s="5"/>
      <c r="AR205" s="5"/>
      <c r="AS205" s="5"/>
      <c r="AT205" s="5"/>
    </row>
    <row r="206" spans="1:46" ht="12.75" customHeight="1" x14ac:dyDescent="0.2">
      <c r="A206" s="1"/>
      <c r="B206" s="1" t="s">
        <v>181</v>
      </c>
      <c r="C206" s="1" t="s">
        <v>182</v>
      </c>
      <c r="D206" s="2"/>
      <c r="E206" s="6" t="s">
        <v>45</v>
      </c>
      <c r="F206" s="3">
        <f>(1.2+2)/2</f>
        <v>1.6</v>
      </c>
      <c r="G206" s="3">
        <f>(17+28)/2</f>
        <v>22.5</v>
      </c>
      <c r="H206" s="3">
        <f>(6.2+9.5)/2</f>
        <v>7.85</v>
      </c>
      <c r="I206" s="3"/>
      <c r="J206" s="3">
        <f>(5.3+8.4)/2</f>
        <v>6.85</v>
      </c>
      <c r="K206" s="3"/>
      <c r="L206" s="3"/>
      <c r="M206" s="3">
        <f>(46+48)/2</f>
        <v>47</v>
      </c>
      <c r="N206" s="3"/>
      <c r="O206" s="4"/>
      <c r="P206" s="4"/>
      <c r="Q206" s="5"/>
      <c r="R206" s="5"/>
      <c r="S206" s="5"/>
      <c r="T206" s="5"/>
      <c r="U206" s="4"/>
      <c r="V206" s="5"/>
      <c r="W206" s="5"/>
      <c r="X206" s="5"/>
      <c r="Y206" s="5"/>
      <c r="Z206" s="5"/>
      <c r="AA206" s="5"/>
      <c r="AB206" s="5"/>
      <c r="AC206" s="5"/>
      <c r="AD206" s="5"/>
      <c r="AE206" s="5"/>
      <c r="AF206" s="5"/>
      <c r="AG206" s="5"/>
      <c r="AH206" s="5"/>
      <c r="AI206" s="5"/>
      <c r="AJ206" s="5"/>
      <c r="AK206" s="5"/>
      <c r="AL206" s="5"/>
      <c r="AM206" s="5"/>
      <c r="AN206" s="5"/>
      <c r="AO206" s="5"/>
      <c r="AP206" s="5"/>
      <c r="AQ206" s="5"/>
      <c r="AR206" s="5"/>
      <c r="AS206" s="5"/>
      <c r="AT206" s="5"/>
    </row>
    <row r="207" spans="1:46" ht="12.75" customHeight="1" x14ac:dyDescent="0.2">
      <c r="A207" s="1"/>
      <c r="B207" s="1" t="s">
        <v>181</v>
      </c>
      <c r="C207" s="1" t="s">
        <v>182</v>
      </c>
      <c r="D207" s="2"/>
      <c r="E207" s="6" t="s">
        <v>46</v>
      </c>
      <c r="F207" s="3">
        <f>(1.27+1.53)/2</f>
        <v>1.4</v>
      </c>
      <c r="G207" s="3">
        <f>(20+21)/2</f>
        <v>20.5</v>
      </c>
      <c r="H207" s="3">
        <f>(6.2+8.1)/2</f>
        <v>7.15</v>
      </c>
      <c r="I207" s="3"/>
      <c r="J207" s="3">
        <f>(6.8+8.1)/2</f>
        <v>7.4499999999999993</v>
      </c>
      <c r="K207" s="3"/>
      <c r="L207" s="3"/>
      <c r="M207" s="3"/>
      <c r="N207" s="3"/>
      <c r="O207" s="4"/>
      <c r="P207" s="4"/>
      <c r="Q207" s="5"/>
      <c r="R207" s="5"/>
      <c r="S207" s="5"/>
      <c r="T207" s="5"/>
      <c r="U207" s="4"/>
      <c r="V207" s="5"/>
      <c r="W207" s="5"/>
      <c r="X207" s="5"/>
      <c r="Y207" s="5"/>
      <c r="Z207" s="5"/>
      <c r="AA207" s="5"/>
      <c r="AB207" s="5"/>
      <c r="AC207" s="5"/>
      <c r="AD207" s="5"/>
      <c r="AE207" s="5"/>
      <c r="AF207" s="5"/>
      <c r="AG207" s="5"/>
      <c r="AH207" s="5"/>
      <c r="AI207" s="5"/>
      <c r="AJ207" s="5"/>
      <c r="AK207" s="5"/>
      <c r="AL207" s="5"/>
      <c r="AM207" s="5"/>
      <c r="AN207" s="5"/>
      <c r="AO207" s="5"/>
      <c r="AP207" s="5"/>
      <c r="AQ207" s="5"/>
      <c r="AR207" s="5"/>
      <c r="AS207" s="5"/>
      <c r="AT207" s="5"/>
    </row>
    <row r="208" spans="1:46" ht="12.75" customHeight="1" x14ac:dyDescent="0.2">
      <c r="A208" s="1"/>
      <c r="B208" s="1" t="s">
        <v>183</v>
      </c>
      <c r="C208" s="1" t="s">
        <v>184</v>
      </c>
      <c r="D208" s="2"/>
      <c r="E208" s="6" t="s">
        <v>45</v>
      </c>
      <c r="F208" s="3">
        <f>(0.96+1.2)/2</f>
        <v>1.08</v>
      </c>
      <c r="G208" s="3">
        <f>(13+20)/2</f>
        <v>16.5</v>
      </c>
      <c r="H208" s="3">
        <f>(3.8+5)/2</f>
        <v>4.4000000000000004</v>
      </c>
      <c r="I208" s="3"/>
      <c r="J208" s="3">
        <f>(17+19)/2</f>
        <v>18</v>
      </c>
      <c r="K208" s="3"/>
      <c r="L208" s="3"/>
      <c r="M208" s="3">
        <f>(56+59)/2</f>
        <v>57.5</v>
      </c>
      <c r="N208" s="3"/>
      <c r="O208" s="4"/>
      <c r="P208" s="4"/>
      <c r="Q208" s="5"/>
      <c r="R208" s="5"/>
      <c r="S208" s="5"/>
      <c r="T208" s="5"/>
      <c r="U208" s="4"/>
      <c r="V208" s="5"/>
      <c r="W208" s="5"/>
      <c r="X208" s="5"/>
      <c r="Y208" s="5"/>
      <c r="Z208" s="5"/>
      <c r="AA208" s="5"/>
      <c r="AB208" s="5"/>
      <c r="AC208" s="5"/>
      <c r="AD208" s="5"/>
      <c r="AE208" s="5"/>
      <c r="AF208" s="5"/>
      <c r="AG208" s="5"/>
      <c r="AH208" s="5"/>
      <c r="AI208" s="5"/>
      <c r="AJ208" s="5"/>
      <c r="AK208" s="5"/>
      <c r="AL208" s="5"/>
      <c r="AM208" s="5"/>
      <c r="AN208" s="5"/>
      <c r="AO208" s="5"/>
      <c r="AP208" s="5"/>
      <c r="AQ208" s="5"/>
      <c r="AR208" s="5"/>
      <c r="AS208" s="5"/>
      <c r="AT208" s="5"/>
    </row>
    <row r="209" spans="1:46" ht="12.75" customHeight="1" x14ac:dyDescent="0.2">
      <c r="A209" s="1"/>
      <c r="B209" s="1" t="s">
        <v>183</v>
      </c>
      <c r="C209" s="1" t="s">
        <v>184</v>
      </c>
      <c r="D209" s="2"/>
      <c r="E209" s="6" t="s">
        <v>46</v>
      </c>
      <c r="F209" s="3">
        <f>(0.78+1.07)/2</f>
        <v>0.92500000000000004</v>
      </c>
      <c r="G209" s="3">
        <f>(13+15)/2</f>
        <v>14</v>
      </c>
      <c r="H209" s="3">
        <f>(4+5.5)/2</f>
        <v>4.75</v>
      </c>
      <c r="I209" s="3"/>
      <c r="J209" s="3">
        <f>(13+21)/2</f>
        <v>17</v>
      </c>
      <c r="K209" s="3"/>
      <c r="L209" s="3"/>
      <c r="M209" s="3"/>
      <c r="N209" s="3"/>
      <c r="O209" s="4"/>
      <c r="P209" s="4"/>
      <c r="Q209" s="5"/>
      <c r="R209" s="5"/>
      <c r="S209" s="5"/>
      <c r="T209" s="5"/>
      <c r="U209" s="4"/>
      <c r="V209" s="5"/>
      <c r="W209" s="5"/>
      <c r="X209" s="5"/>
      <c r="Y209" s="5"/>
      <c r="Z209" s="5"/>
      <c r="AA209" s="5"/>
      <c r="AB209" s="5"/>
      <c r="AC209" s="5"/>
      <c r="AD209" s="5"/>
      <c r="AE209" s="5"/>
      <c r="AF209" s="5"/>
      <c r="AG209" s="5"/>
      <c r="AH209" s="5"/>
      <c r="AI209" s="5"/>
      <c r="AJ209" s="5"/>
      <c r="AK209" s="5"/>
      <c r="AL209" s="5"/>
      <c r="AM209" s="5"/>
      <c r="AN209" s="5"/>
      <c r="AO209" s="5"/>
      <c r="AP209" s="5"/>
      <c r="AQ209" s="5"/>
      <c r="AR209" s="5"/>
      <c r="AS209" s="5"/>
      <c r="AT209" s="5"/>
    </row>
    <row r="210" spans="1:46" ht="12.75" customHeight="1" x14ac:dyDescent="0.2">
      <c r="A210" s="1"/>
      <c r="B210" s="1" t="s">
        <v>185</v>
      </c>
      <c r="C210" s="1" t="s">
        <v>186</v>
      </c>
      <c r="D210" s="2"/>
      <c r="E210" s="6" t="s">
        <v>45</v>
      </c>
      <c r="F210" s="3">
        <f>(0.76+1.18)/2</f>
        <v>0.97</v>
      </c>
      <c r="G210" s="3">
        <f>(20+32)/2</f>
        <v>26</v>
      </c>
      <c r="H210" s="3">
        <f>(4.1+6.5)/2</f>
        <v>5.3</v>
      </c>
      <c r="I210" s="3"/>
      <c r="J210" s="3">
        <f>(3.6+5)/2</f>
        <v>4.3</v>
      </c>
      <c r="K210" s="3"/>
      <c r="L210" s="3"/>
      <c r="M210" s="3">
        <f>(38+50)/2</f>
        <v>44</v>
      </c>
      <c r="N210" s="3"/>
      <c r="O210" s="4"/>
      <c r="P210" s="4"/>
      <c r="Q210" s="5"/>
      <c r="R210" s="5"/>
      <c r="S210" s="5"/>
      <c r="T210" s="5"/>
      <c r="U210" s="4"/>
      <c r="V210" s="5"/>
      <c r="W210" s="5"/>
      <c r="X210" s="5"/>
      <c r="Y210" s="5"/>
      <c r="Z210" s="5"/>
      <c r="AA210" s="5"/>
      <c r="AB210" s="5"/>
      <c r="AC210" s="5"/>
      <c r="AD210" s="5"/>
      <c r="AE210" s="5"/>
      <c r="AF210" s="5"/>
      <c r="AG210" s="5"/>
      <c r="AH210" s="5"/>
      <c r="AI210" s="5"/>
      <c r="AJ210" s="5"/>
      <c r="AK210" s="5"/>
      <c r="AL210" s="5"/>
      <c r="AM210" s="5"/>
      <c r="AN210" s="5"/>
      <c r="AO210" s="5"/>
      <c r="AP210" s="5"/>
      <c r="AQ210" s="5"/>
      <c r="AR210" s="5"/>
      <c r="AS210" s="5"/>
      <c r="AT210" s="5"/>
    </row>
    <row r="211" spans="1:46" ht="12.75" customHeight="1" x14ac:dyDescent="0.2">
      <c r="A211" s="1"/>
      <c r="B211" s="1" t="s">
        <v>185</v>
      </c>
      <c r="C211" s="1" t="s">
        <v>186</v>
      </c>
      <c r="D211" s="2"/>
      <c r="E211" s="6" t="s">
        <v>46</v>
      </c>
      <c r="F211" s="3">
        <f>(0.74+0.95)/2</f>
        <v>0.84499999999999997</v>
      </c>
      <c r="G211" s="3">
        <f>(21+29)/2</f>
        <v>25</v>
      </c>
      <c r="H211" s="3">
        <f>(4+5.4)/2</f>
        <v>4.7</v>
      </c>
      <c r="I211" s="3"/>
      <c r="J211" s="3">
        <f>(3.5+5)/2</f>
        <v>4.25</v>
      </c>
      <c r="K211" s="3"/>
      <c r="L211" s="3"/>
      <c r="M211" s="3"/>
      <c r="N211" s="3"/>
      <c r="O211" s="4"/>
      <c r="P211" s="4"/>
      <c r="Q211" s="5"/>
      <c r="R211" s="5"/>
      <c r="S211" s="5"/>
      <c r="T211" s="5"/>
      <c r="U211" s="4"/>
      <c r="V211" s="5"/>
      <c r="W211" s="5"/>
      <c r="X211" s="5"/>
      <c r="Y211" s="5"/>
      <c r="Z211" s="5"/>
      <c r="AA211" s="5"/>
      <c r="AB211" s="5"/>
      <c r="AC211" s="5"/>
      <c r="AD211" s="5"/>
      <c r="AE211" s="5"/>
      <c r="AF211" s="5"/>
      <c r="AG211" s="5"/>
      <c r="AH211" s="5"/>
      <c r="AI211" s="5"/>
      <c r="AJ211" s="5"/>
      <c r="AK211" s="5"/>
      <c r="AL211" s="5"/>
      <c r="AM211" s="5"/>
      <c r="AN211" s="5"/>
      <c r="AO211" s="5"/>
      <c r="AP211" s="5"/>
      <c r="AQ211" s="5"/>
      <c r="AR211" s="5"/>
      <c r="AS211" s="5"/>
      <c r="AT211" s="5"/>
    </row>
    <row r="212" spans="1:46" ht="12.75" customHeight="1" x14ac:dyDescent="0.2">
      <c r="A212" s="1"/>
      <c r="B212" s="1" t="s">
        <v>187</v>
      </c>
      <c r="C212" s="1" t="s">
        <v>188</v>
      </c>
      <c r="D212" s="2"/>
      <c r="E212" s="6" t="s">
        <v>45</v>
      </c>
      <c r="F212" s="3">
        <f>(0.76+1.18)/2</f>
        <v>0.97</v>
      </c>
      <c r="G212" s="3">
        <f>(20+32)/2</f>
        <v>26</v>
      </c>
      <c r="H212" s="3">
        <f>(4.1+6.5)/2</f>
        <v>5.3</v>
      </c>
      <c r="I212" s="3"/>
      <c r="J212" s="3">
        <f>(3.6+5)/2</f>
        <v>4.3</v>
      </c>
      <c r="K212" s="3"/>
      <c r="L212" s="3"/>
      <c r="M212" s="3">
        <f>(38+50)/2</f>
        <v>44</v>
      </c>
      <c r="N212" s="3"/>
      <c r="O212" s="4"/>
      <c r="P212" s="4"/>
      <c r="Q212" s="5"/>
      <c r="R212" s="5"/>
      <c r="S212" s="5"/>
      <c r="T212" s="5"/>
      <c r="U212" s="4"/>
      <c r="V212" s="5"/>
      <c r="W212" s="5"/>
      <c r="X212" s="5"/>
      <c r="Y212" s="5"/>
      <c r="Z212" s="5"/>
      <c r="AA212" s="5"/>
      <c r="AB212" s="5"/>
      <c r="AC212" s="5"/>
      <c r="AD212" s="5"/>
      <c r="AE212" s="5"/>
      <c r="AF212" s="5"/>
      <c r="AG212" s="5"/>
      <c r="AH212" s="5"/>
      <c r="AI212" s="5"/>
      <c r="AJ212" s="5"/>
      <c r="AK212" s="5"/>
      <c r="AL212" s="5"/>
      <c r="AM212" s="5"/>
      <c r="AN212" s="5"/>
      <c r="AO212" s="5"/>
      <c r="AP212" s="5"/>
      <c r="AQ212" s="5"/>
      <c r="AR212" s="5"/>
      <c r="AS212" s="5"/>
      <c r="AT212" s="5"/>
    </row>
    <row r="213" spans="1:46" ht="12.75" customHeight="1" x14ac:dyDescent="0.2">
      <c r="A213" s="1"/>
      <c r="B213" s="1" t="s">
        <v>187</v>
      </c>
      <c r="C213" s="1" t="s">
        <v>188</v>
      </c>
      <c r="D213" s="2"/>
      <c r="E213" s="6" t="s">
        <v>46</v>
      </c>
      <c r="F213" s="3">
        <f>(0.74+0.95)/2</f>
        <v>0.84499999999999997</v>
      </c>
      <c r="G213" s="3">
        <f>(21+29)/2</f>
        <v>25</v>
      </c>
      <c r="H213" s="3">
        <f>(4+5.4)/2</f>
        <v>4.7</v>
      </c>
      <c r="I213" s="3"/>
      <c r="J213" s="3">
        <f>(3.5+5)/2</f>
        <v>4.25</v>
      </c>
      <c r="K213" s="3"/>
      <c r="L213" s="3"/>
      <c r="M213" s="3"/>
      <c r="N213" s="3"/>
      <c r="O213" s="4"/>
      <c r="P213" s="4"/>
      <c r="Q213" s="5"/>
      <c r="R213" s="5"/>
      <c r="S213" s="5"/>
      <c r="T213" s="5"/>
      <c r="U213" s="4"/>
      <c r="V213" s="5"/>
      <c r="W213" s="5"/>
      <c r="X213" s="5"/>
      <c r="Y213" s="5"/>
      <c r="Z213" s="5"/>
      <c r="AA213" s="5"/>
      <c r="AB213" s="5"/>
      <c r="AC213" s="5"/>
      <c r="AD213" s="5"/>
      <c r="AE213" s="5"/>
      <c r="AF213" s="5"/>
      <c r="AG213" s="5"/>
      <c r="AH213" s="5"/>
      <c r="AI213" s="5"/>
      <c r="AJ213" s="5"/>
      <c r="AK213" s="5"/>
      <c r="AL213" s="5"/>
      <c r="AM213" s="5"/>
      <c r="AN213" s="5"/>
      <c r="AO213" s="5"/>
      <c r="AP213" s="5"/>
      <c r="AQ213" s="5"/>
      <c r="AR213" s="5"/>
      <c r="AS213" s="5"/>
      <c r="AT213" s="5"/>
    </row>
    <row r="214" spans="1:46" ht="12.75" customHeight="1" x14ac:dyDescent="0.2">
      <c r="A214" s="1"/>
      <c r="B214" s="1" t="s">
        <v>189</v>
      </c>
      <c r="C214" s="1" t="s">
        <v>190</v>
      </c>
      <c r="D214" s="2"/>
      <c r="E214" s="6" t="s">
        <v>45</v>
      </c>
      <c r="F214" s="3">
        <f>(1.4+1.54)/2</f>
        <v>1.47</v>
      </c>
      <c r="G214" s="3">
        <f>(15+16)/2</f>
        <v>15.5</v>
      </c>
      <c r="H214" s="3">
        <f>(5.3+6.8)/2</f>
        <v>6.05</v>
      </c>
      <c r="I214" s="3"/>
      <c r="J214" s="3">
        <f>(27+30)/2</f>
        <v>28.5</v>
      </c>
      <c r="K214" s="3"/>
      <c r="L214" s="3"/>
      <c r="M214" s="3">
        <f>(57+59)/2</f>
        <v>58</v>
      </c>
      <c r="N214" s="3"/>
      <c r="O214" s="4"/>
      <c r="P214" s="4"/>
      <c r="Q214" s="5"/>
      <c r="R214" s="5"/>
      <c r="S214" s="5"/>
      <c r="T214" s="5"/>
      <c r="U214" s="4"/>
      <c r="V214" s="5"/>
      <c r="W214" s="5"/>
      <c r="X214" s="5"/>
      <c r="Y214" s="5"/>
      <c r="Z214" s="5"/>
      <c r="AA214" s="5"/>
      <c r="AB214" s="5"/>
      <c r="AC214" s="5"/>
      <c r="AD214" s="5"/>
      <c r="AE214" s="5"/>
      <c r="AF214" s="5"/>
      <c r="AG214" s="5"/>
      <c r="AH214" s="5"/>
      <c r="AI214" s="5"/>
      <c r="AJ214" s="5"/>
      <c r="AK214" s="5"/>
      <c r="AL214" s="5"/>
      <c r="AM214" s="5"/>
      <c r="AN214" s="5"/>
      <c r="AO214" s="5"/>
      <c r="AP214" s="5"/>
      <c r="AQ214" s="5"/>
      <c r="AR214" s="5"/>
      <c r="AS214" s="5"/>
      <c r="AT214" s="5"/>
    </row>
    <row r="215" spans="1:46" ht="12.75" customHeight="1" x14ac:dyDescent="0.2">
      <c r="A215" s="1"/>
      <c r="B215" s="1" t="s">
        <v>189</v>
      </c>
      <c r="C215" s="1" t="s">
        <v>190</v>
      </c>
      <c r="D215" s="2"/>
      <c r="E215" s="6" t="s">
        <v>46</v>
      </c>
      <c r="F215" s="3">
        <f>(1.02+1.1)/2</f>
        <v>1.06</v>
      </c>
      <c r="G215" s="3">
        <f>(15+18)/2</f>
        <v>16.5</v>
      </c>
      <c r="H215" s="3">
        <f>(5.2+5.7)/2</f>
        <v>5.45</v>
      </c>
      <c r="I215" s="3"/>
      <c r="J215" s="3">
        <f>(18+20)/2</f>
        <v>19</v>
      </c>
      <c r="K215" s="3"/>
      <c r="L215" s="3"/>
      <c r="M215" s="3"/>
      <c r="N215" s="3"/>
      <c r="O215" s="4"/>
      <c r="P215" s="4"/>
      <c r="Q215" s="5"/>
      <c r="R215" s="5"/>
      <c r="S215" s="5"/>
      <c r="T215" s="5"/>
      <c r="U215" s="4"/>
      <c r="V215" s="5"/>
      <c r="W215" s="5"/>
      <c r="X215" s="5"/>
      <c r="Y215" s="5"/>
      <c r="Z215" s="5"/>
      <c r="AA215" s="5"/>
      <c r="AB215" s="5"/>
      <c r="AC215" s="5"/>
      <c r="AD215" s="5"/>
      <c r="AE215" s="5"/>
      <c r="AF215" s="5"/>
      <c r="AG215" s="5"/>
      <c r="AH215" s="5"/>
      <c r="AI215" s="5"/>
      <c r="AJ215" s="5"/>
      <c r="AK215" s="5"/>
      <c r="AL215" s="5"/>
      <c r="AM215" s="5"/>
      <c r="AN215" s="5"/>
      <c r="AO215" s="5"/>
      <c r="AP215" s="5"/>
      <c r="AQ215" s="5"/>
      <c r="AR215" s="5"/>
      <c r="AS215" s="5"/>
      <c r="AT215" s="5"/>
    </row>
    <row r="216" spans="1:46" ht="12.75" customHeight="1" x14ac:dyDescent="0.2">
      <c r="A216" s="1"/>
      <c r="B216" s="1" t="s">
        <v>191</v>
      </c>
      <c r="C216" s="1" t="s">
        <v>192</v>
      </c>
      <c r="D216" s="2"/>
      <c r="E216" s="6" t="s">
        <v>45</v>
      </c>
      <c r="F216" s="3">
        <v>0.83</v>
      </c>
      <c r="G216" s="3">
        <v>17</v>
      </c>
      <c r="H216" s="3">
        <v>4.0999999999999996</v>
      </c>
      <c r="I216" s="3"/>
      <c r="J216" s="3">
        <v>19</v>
      </c>
      <c r="K216" s="3"/>
      <c r="L216" s="3"/>
      <c r="M216" s="3">
        <v>85.4</v>
      </c>
      <c r="N216" s="3"/>
      <c r="O216" s="4"/>
      <c r="P216" s="4"/>
      <c r="Q216" s="5"/>
      <c r="R216" s="5"/>
      <c r="S216" s="5"/>
      <c r="T216" s="5"/>
      <c r="U216" s="4"/>
      <c r="V216" s="5"/>
      <c r="W216" s="5"/>
      <c r="X216" s="5"/>
      <c r="Y216" s="5"/>
      <c r="Z216" s="5"/>
      <c r="AA216" s="5"/>
      <c r="AB216" s="5"/>
      <c r="AC216" s="5"/>
      <c r="AD216" s="5"/>
      <c r="AE216" s="5"/>
      <c r="AF216" s="5"/>
      <c r="AG216" s="5"/>
      <c r="AH216" s="5"/>
      <c r="AI216" s="5"/>
      <c r="AJ216" s="5"/>
      <c r="AK216" s="5"/>
      <c r="AL216" s="5"/>
      <c r="AM216" s="5"/>
      <c r="AN216" s="5"/>
      <c r="AO216" s="5"/>
      <c r="AP216" s="5"/>
      <c r="AQ216" s="5"/>
      <c r="AR216" s="5"/>
      <c r="AS216" s="5"/>
      <c r="AT216" s="5"/>
    </row>
    <row r="217" spans="1:46" ht="12.75" customHeight="1" x14ac:dyDescent="0.2">
      <c r="A217" s="1"/>
      <c r="B217" s="1" t="s">
        <v>191</v>
      </c>
      <c r="C217" s="1" t="s">
        <v>192</v>
      </c>
      <c r="D217" s="2"/>
      <c r="E217" s="6" t="s">
        <v>46</v>
      </c>
      <c r="F217" s="3">
        <v>0.75</v>
      </c>
      <c r="G217" s="3">
        <v>17</v>
      </c>
      <c r="H217" s="3">
        <v>3.5</v>
      </c>
      <c r="I217" s="3"/>
      <c r="J217" s="3">
        <v>31</v>
      </c>
      <c r="K217" s="3"/>
      <c r="L217" s="3"/>
      <c r="M217" s="3"/>
      <c r="N217" s="3"/>
      <c r="O217" s="4"/>
      <c r="P217" s="4"/>
      <c r="Q217" s="5"/>
      <c r="R217" s="5"/>
      <c r="S217" s="5"/>
      <c r="T217" s="5"/>
      <c r="U217" s="4"/>
      <c r="V217" s="5"/>
      <c r="W217" s="5"/>
      <c r="X217" s="5"/>
      <c r="Y217" s="5"/>
      <c r="Z217" s="5"/>
      <c r="AA217" s="5"/>
      <c r="AB217" s="5"/>
      <c r="AC217" s="5"/>
      <c r="AD217" s="5"/>
      <c r="AE217" s="5"/>
      <c r="AF217" s="5"/>
      <c r="AG217" s="5"/>
      <c r="AH217" s="5"/>
      <c r="AI217" s="5"/>
      <c r="AJ217" s="5"/>
      <c r="AK217" s="5"/>
      <c r="AL217" s="5"/>
      <c r="AM217" s="5"/>
      <c r="AN217" s="5"/>
      <c r="AO217" s="5"/>
      <c r="AP217" s="5"/>
      <c r="AQ217" s="5"/>
      <c r="AR217" s="5"/>
      <c r="AS217" s="5"/>
      <c r="AT217" s="5"/>
    </row>
    <row r="218" spans="1:46" ht="15.75" customHeight="1" x14ac:dyDescent="0.2">
      <c r="B218" s="10" t="s">
        <v>193</v>
      </c>
      <c r="C218" s="10" t="s">
        <v>194</v>
      </c>
      <c r="E218" s="6" t="s">
        <v>45</v>
      </c>
      <c r="F218" s="3">
        <f>(1.15+1.41)/2</f>
        <v>1.2799999999999998</v>
      </c>
      <c r="G218" s="3">
        <f>(11+13)/2</f>
        <v>12</v>
      </c>
      <c r="H218" s="3">
        <f>(4.6+5.9)/2</f>
        <v>5.25</v>
      </c>
      <c r="I218" s="3"/>
      <c r="J218" s="3">
        <f>(37+51)/2</f>
        <v>44</v>
      </c>
      <c r="K218" s="3"/>
      <c r="L218" s="3"/>
      <c r="M218" s="3">
        <f>(57+61)/2</f>
        <v>59</v>
      </c>
      <c r="N218" s="3"/>
    </row>
    <row r="219" spans="1:46" ht="15.75" customHeight="1" x14ac:dyDescent="0.2">
      <c r="B219" s="10" t="s">
        <v>193</v>
      </c>
      <c r="C219" s="10" t="s">
        <v>194</v>
      </c>
      <c r="E219" s="6" t="s">
        <v>46</v>
      </c>
      <c r="F219" s="3">
        <f>(1.07+1.24)/2</f>
        <v>1.155</v>
      </c>
      <c r="G219" s="3">
        <f>(13+16)/2</f>
        <v>14.5</v>
      </c>
      <c r="H219" s="3">
        <f>(4.8+5.9)/2</f>
        <v>5.35</v>
      </c>
      <c r="I219" s="3"/>
      <c r="J219" s="3">
        <f>(29+41)/2</f>
        <v>35</v>
      </c>
      <c r="K219" s="3"/>
      <c r="L219" s="3"/>
      <c r="M219" s="3"/>
      <c r="N219" s="3"/>
    </row>
    <row r="220" spans="1:46" ht="15.75" customHeight="1" x14ac:dyDescent="0.2">
      <c r="B220" s="10" t="s">
        <v>195</v>
      </c>
      <c r="C220" s="10" t="s">
        <v>196</v>
      </c>
      <c r="E220" s="6" t="s">
        <v>45</v>
      </c>
      <c r="F220" s="3">
        <f>(0.89+1.99)/2</f>
        <v>1.44</v>
      </c>
      <c r="G220" s="3">
        <f>(12+15)/2</f>
        <v>13.5</v>
      </c>
      <c r="H220" s="3">
        <f>(4.1+7.1)/2</f>
        <v>5.6</v>
      </c>
      <c r="I220" s="3"/>
      <c r="J220" s="3">
        <f>(43+64)/2</f>
        <v>53.5</v>
      </c>
      <c r="K220" s="3"/>
      <c r="L220" s="3"/>
      <c r="M220" s="3">
        <f>(59+61)/2</f>
        <v>60</v>
      </c>
      <c r="N220" s="3"/>
    </row>
    <row r="221" spans="1:46" ht="15.75" customHeight="1" x14ac:dyDescent="0.2">
      <c r="B221" s="10" t="s">
        <v>195</v>
      </c>
      <c r="C221" s="10" t="s">
        <v>196</v>
      </c>
      <c r="E221" s="6" t="s">
        <v>46</v>
      </c>
      <c r="F221" s="3">
        <f>(0.62+0.79)/2</f>
        <v>0.70500000000000007</v>
      </c>
      <c r="G221" s="3">
        <f>(16+18)/2</f>
        <v>17</v>
      </c>
      <c r="H221" s="3">
        <f>(4.6+4.9)/2</f>
        <v>4.75</v>
      </c>
      <c r="I221" s="3"/>
      <c r="J221" s="3">
        <f>(26+33)/2</f>
        <v>29.5</v>
      </c>
      <c r="K221" s="3"/>
      <c r="L221" s="3"/>
      <c r="M221" s="3"/>
      <c r="N221" s="3"/>
    </row>
    <row r="222" spans="1:46" ht="15.75" customHeight="1" x14ac:dyDescent="0.2">
      <c r="B222" s="10" t="s">
        <v>197</v>
      </c>
      <c r="E222" s="6" t="s">
        <v>45</v>
      </c>
      <c r="F222" s="3">
        <f>(1.27+1.5)/2</f>
        <v>1.385</v>
      </c>
      <c r="G222" s="3">
        <f>(15+16)/2</f>
        <v>15.5</v>
      </c>
      <c r="H222" s="3">
        <f>(7+8.3)/2</f>
        <v>7.65</v>
      </c>
      <c r="I222" s="3"/>
      <c r="J222" s="3">
        <f>(7.3+9.6)/2</f>
        <v>8.4499999999999993</v>
      </c>
      <c r="K222" s="3"/>
      <c r="L222" s="3"/>
      <c r="M222" s="3">
        <f>(43+50)/2</f>
        <v>46.5</v>
      </c>
      <c r="N222" s="3"/>
    </row>
    <row r="223" spans="1:46" ht="15.75" customHeight="1" x14ac:dyDescent="0.2">
      <c r="B223" s="10" t="s">
        <v>197</v>
      </c>
      <c r="E223" s="6" t="s">
        <v>46</v>
      </c>
      <c r="F223" s="3">
        <f>(1.12+1.15)/2</f>
        <v>1.135</v>
      </c>
      <c r="G223" s="3">
        <v>16</v>
      </c>
      <c r="H223" s="3">
        <f>(7+8)/2</f>
        <v>7.5</v>
      </c>
      <c r="I223" s="3"/>
      <c r="J223" s="3">
        <f>(8+9.4)/2</f>
        <v>8.6999999999999993</v>
      </c>
      <c r="K223" s="3"/>
      <c r="L223" s="3"/>
      <c r="M223" s="3"/>
      <c r="N223" s="3"/>
    </row>
    <row r="224" spans="1:46" ht="15.75" customHeight="1" x14ac:dyDescent="0.2">
      <c r="B224" s="10" t="s">
        <v>198</v>
      </c>
      <c r="C224" s="10" t="s">
        <v>199</v>
      </c>
      <c r="E224" s="6" t="s">
        <v>45</v>
      </c>
      <c r="F224" s="3">
        <f>(0.69+1.11)/2</f>
        <v>0.9</v>
      </c>
      <c r="G224" s="3">
        <f>(14+20)/2</f>
        <v>17</v>
      </c>
      <c r="H224" s="3">
        <f>(5.3+8.6)/2</f>
        <v>6.9499999999999993</v>
      </c>
      <c r="I224" s="3"/>
      <c r="J224" s="3">
        <f>(8+11)/2</f>
        <v>9.5</v>
      </c>
      <c r="K224" s="3"/>
      <c r="L224" s="3"/>
      <c r="M224" s="3">
        <f>(49+55)/2</f>
        <v>52</v>
      </c>
      <c r="N224" s="3"/>
    </row>
    <row r="225" spans="2:14" ht="15.75" customHeight="1" x14ac:dyDescent="0.2">
      <c r="B225" s="10" t="s">
        <v>198</v>
      </c>
      <c r="C225" s="10" t="s">
        <v>199</v>
      </c>
      <c r="E225" s="6" t="s">
        <v>46</v>
      </c>
      <c r="F225" s="3">
        <f>(0.53+0.89)/2</f>
        <v>0.71</v>
      </c>
      <c r="G225" s="3">
        <f>(17+19)/2</f>
        <v>18</v>
      </c>
      <c r="H225" s="3">
        <f>(4.5+5.8)/2</f>
        <v>5.15</v>
      </c>
      <c r="I225" s="3"/>
      <c r="J225" s="3">
        <f>(20+29)/2</f>
        <v>24.5</v>
      </c>
      <c r="K225" s="3"/>
      <c r="L225" s="3"/>
      <c r="M225" s="3"/>
      <c r="N225" s="3"/>
    </row>
    <row r="226" spans="2:14" ht="15.75" customHeight="1" x14ac:dyDescent="0.2">
      <c r="B226" s="10" t="s">
        <v>200</v>
      </c>
      <c r="E226" s="6" t="s">
        <v>45</v>
      </c>
      <c r="F226" s="3">
        <f>(0.58+0.63)/2</f>
        <v>0.60499999999999998</v>
      </c>
      <c r="G226" s="3">
        <f>(20+24)/2</f>
        <v>22</v>
      </c>
      <c r="H226" s="3">
        <f>(4.5+4.8)/2</f>
        <v>4.6500000000000004</v>
      </c>
      <c r="I226" s="3"/>
      <c r="J226" s="3">
        <f>(10+13)/2</f>
        <v>11.5</v>
      </c>
      <c r="K226" s="3"/>
      <c r="L226" s="3"/>
      <c r="M226" s="3">
        <f>(81+83)/2</f>
        <v>82</v>
      </c>
      <c r="N226" s="3"/>
    </row>
    <row r="227" spans="2:14" ht="15.75" customHeight="1" x14ac:dyDescent="0.2">
      <c r="B227" s="10" t="s">
        <v>200</v>
      </c>
      <c r="E227" s="6" t="s">
        <v>46</v>
      </c>
      <c r="F227" s="3">
        <v>0.55000000000000004</v>
      </c>
      <c r="G227" s="3">
        <v>19</v>
      </c>
      <c r="H227" s="3">
        <v>4.5</v>
      </c>
      <c r="I227" s="3"/>
      <c r="J227" s="3">
        <v>9.5</v>
      </c>
      <c r="K227" s="3"/>
      <c r="L227" s="3"/>
      <c r="M227" s="3"/>
      <c r="N227" s="3"/>
    </row>
    <row r="228" spans="2:14" ht="15.75" customHeight="1" x14ac:dyDescent="0.2">
      <c r="B228" s="10" t="s">
        <v>201</v>
      </c>
      <c r="E228" s="6" t="s">
        <v>45</v>
      </c>
      <c r="F228" s="3">
        <f>(1.05+1.13)/2</f>
        <v>1.0899999999999999</v>
      </c>
      <c r="G228" s="3">
        <f>(13+16)/2</f>
        <v>14.5</v>
      </c>
      <c r="H228" s="3">
        <f>(4.8+5.3)/2</f>
        <v>5.05</v>
      </c>
      <c r="I228" s="3"/>
      <c r="J228" s="3">
        <f>(10+12)/2</f>
        <v>11</v>
      </c>
      <c r="K228" s="3"/>
      <c r="L228" s="3"/>
      <c r="M228" s="3">
        <f>(83+87)/2</f>
        <v>85</v>
      </c>
      <c r="N228" s="3"/>
    </row>
    <row r="229" spans="2:14" ht="15.75" customHeight="1" x14ac:dyDescent="0.2">
      <c r="B229" s="10" t="s">
        <v>201</v>
      </c>
      <c r="E229" s="6" t="s">
        <v>46</v>
      </c>
      <c r="F229" s="3">
        <f>(0.98+1.04)/2</f>
        <v>1.01</v>
      </c>
      <c r="G229" s="3">
        <f>(19+21)/2</f>
        <v>20</v>
      </c>
      <c r="H229" s="3">
        <f>(3.9+5.2)/2</f>
        <v>4.55</v>
      </c>
      <c r="I229" s="3"/>
      <c r="J229" s="3">
        <f>(10+15)/2</f>
        <v>12.5</v>
      </c>
      <c r="K229" s="3"/>
      <c r="L229" s="3"/>
      <c r="M229" s="3"/>
      <c r="N229" s="3"/>
    </row>
    <row r="230" spans="2:14" ht="15.75" customHeight="1" x14ac:dyDescent="0.2">
      <c r="B230" s="10" t="s">
        <v>202</v>
      </c>
      <c r="C230" s="10" t="s">
        <v>203</v>
      </c>
      <c r="E230" s="6" t="s">
        <v>45</v>
      </c>
      <c r="F230" s="3">
        <f>(0.77+1.2)/2</f>
        <v>0.98499999999999999</v>
      </c>
      <c r="G230" s="3">
        <f>(19+24)/2</f>
        <v>21.5</v>
      </c>
      <c r="H230" s="3">
        <f>(4.2+4.7)/2</f>
        <v>4.45</v>
      </c>
      <c r="I230" s="3"/>
      <c r="J230" s="3">
        <f>(4.5+7)/2</f>
        <v>5.75</v>
      </c>
      <c r="K230" s="3"/>
      <c r="L230" s="3"/>
      <c r="M230" s="3">
        <f>(50+52)/2</f>
        <v>51</v>
      </c>
      <c r="N230" s="3"/>
    </row>
    <row r="231" spans="2:14" ht="15.75" customHeight="1" x14ac:dyDescent="0.2">
      <c r="B231" s="10" t="s">
        <v>202</v>
      </c>
      <c r="C231" s="10" t="s">
        <v>203</v>
      </c>
      <c r="E231" s="6" t="s">
        <v>46</v>
      </c>
      <c r="F231" s="3">
        <f>(0.61+0.74)/2</f>
        <v>0.67500000000000004</v>
      </c>
      <c r="G231" s="3">
        <f>(19+30)/2</f>
        <v>24.5</v>
      </c>
      <c r="H231" s="3">
        <f>(3.6+4.3)/2</f>
        <v>3.95</v>
      </c>
      <c r="I231" s="3"/>
      <c r="J231" s="3">
        <f>(7.4+12)/2</f>
        <v>9.6999999999999993</v>
      </c>
      <c r="K231" s="3"/>
      <c r="L231" s="3"/>
      <c r="M231" s="3"/>
      <c r="N231" s="3"/>
    </row>
    <row r="232" spans="2:14" ht="15.75" customHeight="1" x14ac:dyDescent="0.2">
      <c r="B232" s="10" t="s">
        <v>183</v>
      </c>
      <c r="C232" s="10" t="s">
        <v>204</v>
      </c>
      <c r="E232" s="6" t="s">
        <v>45</v>
      </c>
      <c r="F232" s="3">
        <f>(0.8+1.08)/2</f>
        <v>0.94000000000000006</v>
      </c>
      <c r="G232" s="3">
        <f>(16+22)/2</f>
        <v>19</v>
      </c>
      <c r="H232" s="3">
        <f>(3.8+4.5)/2</f>
        <v>4.1500000000000004</v>
      </c>
      <c r="I232" s="3"/>
      <c r="J232" s="3">
        <f>(11+15)/2</f>
        <v>13</v>
      </c>
      <c r="K232" s="3"/>
      <c r="L232" s="3"/>
      <c r="M232" s="3">
        <f>(54+58)/2</f>
        <v>56</v>
      </c>
      <c r="N232" s="3"/>
    </row>
    <row r="233" spans="2:14" ht="15.75" customHeight="1" x14ac:dyDescent="0.2">
      <c r="B233" s="10" t="s">
        <v>183</v>
      </c>
      <c r="C233" s="10" t="s">
        <v>204</v>
      </c>
      <c r="E233" s="6" t="s">
        <v>46</v>
      </c>
      <c r="F233" s="3">
        <f>(0.64+1.05)/2</f>
        <v>0.84499999999999997</v>
      </c>
      <c r="G233" s="3">
        <f>(15+25)/2</f>
        <v>20</v>
      </c>
      <c r="H233" s="3">
        <f>(3.3+4.5)/2</f>
        <v>3.9</v>
      </c>
      <c r="I233" s="3"/>
      <c r="J233" s="3">
        <f>(8.2+14)/2</f>
        <v>11.1</v>
      </c>
      <c r="K233" s="3"/>
      <c r="L233" s="3"/>
      <c r="M233" s="3"/>
      <c r="N233" s="3"/>
    </row>
    <row r="234" spans="2:14" ht="15.75" customHeight="1" x14ac:dyDescent="0.2">
      <c r="B234" s="10" t="s">
        <v>205</v>
      </c>
      <c r="E234" s="6" t="s">
        <v>45</v>
      </c>
      <c r="F234" s="3">
        <f>(0.4+0.53)/2</f>
        <v>0.46500000000000002</v>
      </c>
      <c r="G234" s="3">
        <f>(22+33)/2</f>
        <v>27.5</v>
      </c>
      <c r="H234" s="3">
        <f>(3.7+4.7)/2</f>
        <v>4.2</v>
      </c>
      <c r="I234" s="3"/>
      <c r="J234" s="3">
        <f>(8+9)/2</f>
        <v>8.5</v>
      </c>
      <c r="K234" s="3"/>
      <c r="L234" s="3"/>
      <c r="M234" s="3">
        <f>(51+58)/2</f>
        <v>54.5</v>
      </c>
      <c r="N234" s="3"/>
    </row>
    <row r="235" spans="2:14" ht="15.75" customHeight="1" x14ac:dyDescent="0.2">
      <c r="B235" s="10" t="s">
        <v>205</v>
      </c>
      <c r="E235" s="6" t="s">
        <v>46</v>
      </c>
      <c r="F235" s="3">
        <v>0.49</v>
      </c>
      <c r="G235" s="3">
        <v>29</v>
      </c>
      <c r="H235" s="3">
        <v>3.8</v>
      </c>
      <c r="I235" s="3"/>
      <c r="J235" s="3">
        <v>9</v>
      </c>
      <c r="K235" s="3"/>
      <c r="L235" s="3"/>
      <c r="M235" s="3"/>
      <c r="N235" s="3"/>
    </row>
    <row r="236" spans="2:14" ht="15.75" customHeight="1" x14ac:dyDescent="0.2">
      <c r="B236" s="10" t="s">
        <v>206</v>
      </c>
      <c r="C236" s="10" t="s">
        <v>207</v>
      </c>
      <c r="E236" s="6" t="s">
        <v>45</v>
      </c>
      <c r="F236" s="3">
        <f>(0.56+0.63)/2</f>
        <v>0.59499999999999997</v>
      </c>
      <c r="G236" s="3">
        <f>(18+23)/2</f>
        <v>20.5</v>
      </c>
      <c r="H236" s="3">
        <f>(4+4.4)/2</f>
        <v>4.2</v>
      </c>
      <c r="I236" s="3"/>
      <c r="J236" s="3">
        <f>(19+21)/2</f>
        <v>20</v>
      </c>
      <c r="K236" s="3"/>
      <c r="L236" s="3"/>
      <c r="M236" s="3">
        <f>(50+61)/2</f>
        <v>55.5</v>
      </c>
      <c r="N236" s="3"/>
    </row>
    <row r="237" spans="2:14" ht="15.75" customHeight="1" x14ac:dyDescent="0.2">
      <c r="B237" s="10" t="s">
        <v>206</v>
      </c>
      <c r="C237" s="10" t="s">
        <v>207</v>
      </c>
      <c r="E237" s="6" t="s">
        <v>46</v>
      </c>
      <c r="F237" s="3">
        <f>(0.51+0.6)/2</f>
        <v>0.55499999999999994</v>
      </c>
      <c r="G237" s="3">
        <f>(21+25)/2</f>
        <v>23</v>
      </c>
      <c r="H237" s="3">
        <f>(3.8+4.6)/2</f>
        <v>4.1999999999999993</v>
      </c>
      <c r="I237" s="3"/>
      <c r="J237" s="3">
        <f>(20+24)/2</f>
        <v>22</v>
      </c>
      <c r="K237" s="3"/>
      <c r="L237" s="3"/>
      <c r="M237" s="3"/>
      <c r="N237" s="3"/>
    </row>
    <row r="238" spans="2:14" ht="15.75" customHeight="1" x14ac:dyDescent="0.2">
      <c r="B238" s="10" t="s">
        <v>208</v>
      </c>
      <c r="E238" s="6" t="s">
        <v>45</v>
      </c>
      <c r="F238" s="3">
        <f>(0.5+0.68)/2</f>
        <v>0.59000000000000008</v>
      </c>
      <c r="G238" s="3">
        <f>(19+22)/2</f>
        <v>20.5</v>
      </c>
      <c r="H238" s="3">
        <f>(4.6+5.5)/2</f>
        <v>5.05</v>
      </c>
      <c r="I238" s="3"/>
      <c r="J238" s="3">
        <f>(10+13)/2</f>
        <v>11.5</v>
      </c>
      <c r="K238" s="3"/>
      <c r="L238" s="3"/>
      <c r="M238" s="3">
        <f>(54+58)/2</f>
        <v>56</v>
      </c>
      <c r="N238" s="3"/>
    </row>
    <row r="239" spans="2:14" ht="15.75" customHeight="1" x14ac:dyDescent="0.2">
      <c r="B239" s="10" t="s">
        <v>208</v>
      </c>
      <c r="E239" s="6" t="s">
        <v>46</v>
      </c>
      <c r="F239" s="3">
        <f>(0.41+0.58)/2</f>
        <v>0.495</v>
      </c>
      <c r="G239" s="3">
        <f>(18+23)/2</f>
        <v>20.5</v>
      </c>
      <c r="H239" s="3">
        <f>(4+5.1)/2</f>
        <v>4.55</v>
      </c>
      <c r="I239" s="3"/>
      <c r="J239" s="3">
        <f>(18+21)/2</f>
        <v>19.5</v>
      </c>
      <c r="K239" s="3"/>
      <c r="L239" s="3"/>
      <c r="M239" s="3"/>
      <c r="N239" s="3"/>
    </row>
    <row r="240" spans="2:14" ht="15.75" customHeight="1" x14ac:dyDescent="0.2">
      <c r="B240" s="10" t="s">
        <v>209</v>
      </c>
      <c r="E240" s="6" t="s">
        <v>45</v>
      </c>
      <c r="F240" s="3">
        <v>0.96</v>
      </c>
      <c r="G240" s="3">
        <v>15</v>
      </c>
      <c r="H240" s="3">
        <v>4.5999999999999996</v>
      </c>
      <c r="I240" s="3"/>
      <c r="J240" s="3">
        <v>50</v>
      </c>
      <c r="K240" s="3"/>
      <c r="L240" s="3"/>
      <c r="M240" s="3">
        <v>97</v>
      </c>
      <c r="N240" s="3"/>
    </row>
    <row r="241" spans="2:14" ht="15.75" customHeight="1" x14ac:dyDescent="0.2">
      <c r="B241" s="10" t="s">
        <v>209</v>
      </c>
      <c r="E241" s="6" t="s">
        <v>46</v>
      </c>
      <c r="F241" s="3">
        <v>0.64</v>
      </c>
      <c r="G241" s="3">
        <v>19</v>
      </c>
      <c r="H241" s="3">
        <v>3.7</v>
      </c>
      <c r="I241" s="3"/>
      <c r="J241" s="3">
        <v>12</v>
      </c>
      <c r="K241" s="3"/>
      <c r="L241" s="3"/>
      <c r="M241" s="3"/>
      <c r="N241" s="3"/>
    </row>
    <row r="242" spans="2:14" ht="15.75" customHeight="1" x14ac:dyDescent="0.2">
      <c r="B242" s="10" t="s">
        <v>210</v>
      </c>
      <c r="E242" s="6" t="s">
        <v>45</v>
      </c>
      <c r="F242" s="11">
        <v>0.74</v>
      </c>
      <c r="G242" s="11">
        <v>37</v>
      </c>
      <c r="H242" s="11">
        <v>5.4</v>
      </c>
      <c r="I242" s="11"/>
      <c r="J242" s="11">
        <v>2.6</v>
      </c>
      <c r="K242" s="11"/>
      <c r="L242" s="11"/>
      <c r="M242" s="11">
        <v>38</v>
      </c>
      <c r="N242" s="11"/>
    </row>
    <row r="243" spans="2:14" ht="15.75" customHeight="1" x14ac:dyDescent="0.2">
      <c r="B243" s="10" t="s">
        <v>211</v>
      </c>
      <c r="C243" s="10" t="s">
        <v>212</v>
      </c>
      <c r="E243" s="6" t="s">
        <v>45</v>
      </c>
      <c r="F243" s="3">
        <f>(2.26+2.68)/2</f>
        <v>2.4699999999999998</v>
      </c>
      <c r="G243" s="3">
        <f>(12+15)/2</f>
        <v>13.5</v>
      </c>
      <c r="H243" s="3">
        <f>(10+11)/2</f>
        <v>10.5</v>
      </c>
      <c r="I243" s="3"/>
      <c r="J243" s="3">
        <v>14</v>
      </c>
      <c r="K243" s="3"/>
      <c r="L243" s="3"/>
      <c r="M243" s="3">
        <f>(48+57)/2</f>
        <v>52.5</v>
      </c>
      <c r="N243" s="3"/>
    </row>
    <row r="244" spans="2:14" ht="15.75" customHeight="1" x14ac:dyDescent="0.2">
      <c r="B244" s="10" t="s">
        <v>211</v>
      </c>
      <c r="C244" s="10" t="s">
        <v>212</v>
      </c>
      <c r="E244" s="6" t="s">
        <v>46</v>
      </c>
      <c r="F244" s="3">
        <f>(1.18+1.62)/2</f>
        <v>1.4</v>
      </c>
      <c r="G244" s="3">
        <f>(9+13)/2</f>
        <v>11</v>
      </c>
      <c r="H244" s="3">
        <v>7</v>
      </c>
      <c r="I244" s="3"/>
      <c r="J244" s="3">
        <f>(13+18)/2</f>
        <v>15.5</v>
      </c>
      <c r="K244" s="3"/>
      <c r="L244" s="3"/>
      <c r="M244" s="3"/>
      <c r="N244" s="3"/>
    </row>
    <row r="245" spans="2:14" ht="15.75" customHeight="1" x14ac:dyDescent="0.2">
      <c r="B245" s="10" t="s">
        <v>213</v>
      </c>
      <c r="C245" s="10" t="s">
        <v>212</v>
      </c>
      <c r="E245" s="6" t="s">
        <v>45</v>
      </c>
      <c r="F245" s="3">
        <f>(0.92+1.07)/2</f>
        <v>0.99500000000000011</v>
      </c>
      <c r="G245" s="3">
        <f>(12+16)/2</f>
        <v>14</v>
      </c>
      <c r="H245" s="3">
        <f>(5+6)/2</f>
        <v>5.5</v>
      </c>
      <c r="I245" s="3"/>
      <c r="J245" s="3">
        <f>(7+8)/2</f>
        <v>7.5</v>
      </c>
      <c r="K245" s="3"/>
      <c r="L245" s="3"/>
      <c r="M245" s="3">
        <f>(49+53)/2</f>
        <v>51</v>
      </c>
      <c r="N245" s="3"/>
    </row>
    <row r="246" spans="2:14" ht="15.75" customHeight="1" x14ac:dyDescent="0.2">
      <c r="B246" s="10" t="s">
        <v>213</v>
      </c>
      <c r="C246" s="10" t="s">
        <v>212</v>
      </c>
      <c r="E246" s="6" t="s">
        <v>46</v>
      </c>
      <c r="F246" s="3">
        <f>(0.56+0.93)/2</f>
        <v>0.74500000000000011</v>
      </c>
      <c r="G246" s="3">
        <f>(12+29)/2</f>
        <v>20.5</v>
      </c>
      <c r="H246" s="3">
        <f>(4+6)/2</f>
        <v>5</v>
      </c>
      <c r="I246" s="3"/>
      <c r="J246" s="3">
        <f>(6+10)/2</f>
        <v>8</v>
      </c>
      <c r="K246" s="3"/>
      <c r="L246" s="3"/>
      <c r="M246" s="3"/>
      <c r="N246" s="3"/>
    </row>
    <row r="247" spans="2:14" ht="15.75" customHeight="1" x14ac:dyDescent="0.2">
      <c r="B247" s="10" t="s">
        <v>214</v>
      </c>
      <c r="E247" s="6" t="s">
        <v>45</v>
      </c>
      <c r="F247" s="3">
        <f>(0.74+0.9)/2</f>
        <v>0.82000000000000006</v>
      </c>
      <c r="G247" s="3">
        <f>(12+16)/2</f>
        <v>14</v>
      </c>
      <c r="H247" s="3">
        <f>(5.2+7.6)/2</f>
        <v>6.4</v>
      </c>
      <c r="I247" s="3"/>
      <c r="J247" s="3">
        <f>(8.4+11)/2</f>
        <v>9.6999999999999993</v>
      </c>
      <c r="K247" s="3"/>
      <c r="L247" s="3"/>
      <c r="M247" s="3">
        <f>(50+51)/2</f>
        <v>50.5</v>
      </c>
      <c r="N247" s="3"/>
    </row>
    <row r="248" spans="2:14" ht="15.75" customHeight="1" x14ac:dyDescent="0.2">
      <c r="B248" s="10" t="s">
        <v>214</v>
      </c>
      <c r="E248" s="6" t="s">
        <v>46</v>
      </c>
      <c r="F248" s="3">
        <v>0.67</v>
      </c>
      <c r="G248" s="3">
        <v>19</v>
      </c>
      <c r="H248" s="3">
        <v>7.6</v>
      </c>
      <c r="I248" s="3"/>
      <c r="J248" s="3">
        <v>16</v>
      </c>
      <c r="K248" s="3"/>
      <c r="L248" s="3"/>
      <c r="M248" s="3"/>
      <c r="N248" s="3"/>
    </row>
    <row r="249" spans="2:14" ht="15.75" customHeight="1" x14ac:dyDescent="0.2">
      <c r="B249" s="10" t="s">
        <v>215</v>
      </c>
      <c r="E249" s="6" t="s">
        <v>45</v>
      </c>
      <c r="F249" s="3">
        <f>(0.46+0.59)/2</f>
        <v>0.52500000000000002</v>
      </c>
      <c r="G249" s="3">
        <f>(13+17)/2</f>
        <v>15</v>
      </c>
      <c r="H249" s="3">
        <f>(5.5+6.1)/2</f>
        <v>5.8</v>
      </c>
      <c r="I249" s="3"/>
      <c r="J249" s="3">
        <f>(6.6+7.5)/2</f>
        <v>7.05</v>
      </c>
      <c r="K249" s="3"/>
      <c r="L249" s="3"/>
      <c r="M249" s="3">
        <f>(49+59)/2</f>
        <v>54</v>
      </c>
      <c r="N249" s="3"/>
    </row>
    <row r="250" spans="2:14" ht="15.75" customHeight="1" x14ac:dyDescent="0.2">
      <c r="B250" s="10" t="s">
        <v>215</v>
      </c>
      <c r="E250" s="6" t="s">
        <v>46</v>
      </c>
      <c r="F250" s="3">
        <f>(0.35+0.42)/2</f>
        <v>0.38500000000000001</v>
      </c>
      <c r="G250" s="3">
        <f>(12+16)/2</f>
        <v>14</v>
      </c>
      <c r="H250" s="3">
        <f>(4.5+5.5)/2</f>
        <v>5</v>
      </c>
      <c r="I250" s="3"/>
      <c r="J250" s="3">
        <f>(11+17)/2</f>
        <v>14</v>
      </c>
      <c r="K250" s="3"/>
      <c r="L250" s="3"/>
      <c r="M250" s="3"/>
      <c r="N250" s="3"/>
    </row>
    <row r="251" spans="2:14" ht="15.75" customHeight="1" x14ac:dyDescent="0.2">
      <c r="B251" s="10" t="s">
        <v>216</v>
      </c>
      <c r="E251" s="6" t="s">
        <v>45</v>
      </c>
      <c r="F251" s="3">
        <f>(0.27+0.31)/2</f>
        <v>0.29000000000000004</v>
      </c>
      <c r="G251" s="3">
        <f>(14+15)/2</f>
        <v>14.5</v>
      </c>
      <c r="H251" s="3">
        <f>(3.7+4.3)/2</f>
        <v>4</v>
      </c>
      <c r="I251" s="3"/>
      <c r="J251" s="3">
        <f>(12+13)/2</f>
        <v>12.5</v>
      </c>
      <c r="K251" s="3"/>
      <c r="L251" s="3"/>
      <c r="M251" s="3">
        <f>(58+61)/2</f>
        <v>59.5</v>
      </c>
      <c r="N251" s="3"/>
    </row>
    <row r="252" spans="2:14" ht="15.75" customHeight="1" x14ac:dyDescent="0.2">
      <c r="B252" s="10" t="s">
        <v>217</v>
      </c>
      <c r="E252" s="6" t="s">
        <v>45</v>
      </c>
      <c r="F252" s="3">
        <f>(0.28+0.5)/2</f>
        <v>0.39</v>
      </c>
      <c r="G252" s="3">
        <f>(13+15)/2</f>
        <v>14</v>
      </c>
      <c r="H252" s="3">
        <f>(5.4+6.6)/2</f>
        <v>6</v>
      </c>
      <c r="I252" s="3"/>
      <c r="J252" s="3">
        <f>(10.5+13)/2</f>
        <v>11.75</v>
      </c>
      <c r="K252" s="3"/>
      <c r="L252" s="3"/>
      <c r="M252" s="3">
        <f>(55+57)/2</f>
        <v>56</v>
      </c>
      <c r="N252" s="3"/>
    </row>
    <row r="253" spans="2:14" ht="15.75" customHeight="1" x14ac:dyDescent="0.2">
      <c r="B253" s="10" t="s">
        <v>217</v>
      </c>
      <c r="E253" s="6" t="s">
        <v>46</v>
      </c>
      <c r="F253" s="3">
        <f>(0.29+0.35)/2</f>
        <v>0.31999999999999995</v>
      </c>
      <c r="G253" s="3">
        <f>(13+18)/2</f>
        <v>15.5</v>
      </c>
      <c r="H253" s="3">
        <f>(4.8+5.2)/2</f>
        <v>5</v>
      </c>
      <c r="I253" s="3"/>
      <c r="J253" s="3">
        <f>(8+9)/2</f>
        <v>8.5</v>
      </c>
      <c r="K253" s="3"/>
      <c r="L253" s="3"/>
      <c r="M253" s="3"/>
      <c r="N253" s="3"/>
    </row>
    <row r="254" spans="2:14" ht="15.75" customHeight="1" x14ac:dyDescent="0.2">
      <c r="B254" s="10" t="s">
        <v>218</v>
      </c>
      <c r="C254" s="10" t="s">
        <v>219</v>
      </c>
      <c r="E254" s="6" t="s">
        <v>45</v>
      </c>
      <c r="F254" s="3">
        <f>(0.37+0.43)/2</f>
        <v>0.4</v>
      </c>
      <c r="G254" s="3">
        <f>(12+15)/2</f>
        <v>13.5</v>
      </c>
      <c r="H254" s="3">
        <f>(4+7.6)/2</f>
        <v>5.8</v>
      </c>
      <c r="I254" s="3"/>
      <c r="J254" s="3">
        <f>(12+16)/2</f>
        <v>14</v>
      </c>
      <c r="K254" s="3"/>
      <c r="L254" s="3"/>
      <c r="M254" s="3">
        <f>(58+61)/2</f>
        <v>59.5</v>
      </c>
      <c r="N254" s="3"/>
    </row>
    <row r="255" spans="2:14" ht="15.75" customHeight="1" x14ac:dyDescent="0.2">
      <c r="B255" s="10" t="s">
        <v>218</v>
      </c>
      <c r="C255" s="10" t="s">
        <v>219</v>
      </c>
      <c r="E255" s="6" t="s">
        <v>46</v>
      </c>
      <c r="F255" s="3">
        <f>(0.32+0.38)/2</f>
        <v>0.35</v>
      </c>
      <c r="G255" s="3">
        <f>(16+17)/2</f>
        <v>16.5</v>
      </c>
      <c r="H255" s="3">
        <f>(5.2+6.1)/2</f>
        <v>5.65</v>
      </c>
      <c r="I255" s="3"/>
      <c r="J255" s="3">
        <f>(9+11)/2</f>
        <v>10</v>
      </c>
      <c r="K255" s="3"/>
      <c r="L255" s="3"/>
      <c r="M255" s="3"/>
      <c r="N255" s="3"/>
    </row>
    <row r="256" spans="2:14" ht="15.75" customHeight="1" x14ac:dyDescent="0.2">
      <c r="B256" s="10" t="s">
        <v>220</v>
      </c>
      <c r="E256" s="6" t="s">
        <v>45</v>
      </c>
      <c r="F256" s="3">
        <f>(0.45+0.51)/2</f>
        <v>0.48</v>
      </c>
      <c r="G256" s="3">
        <f>(12+14)/2</f>
        <v>13</v>
      </c>
      <c r="H256" s="3">
        <f>(5.6+6.5)/2</f>
        <v>6.05</v>
      </c>
      <c r="I256" s="3"/>
      <c r="J256" s="3">
        <f>(17+18)/2</f>
        <v>17.5</v>
      </c>
      <c r="K256" s="3"/>
      <c r="L256" s="3"/>
      <c r="M256" s="3">
        <f>(54+56)/2</f>
        <v>55</v>
      </c>
      <c r="N256" s="3"/>
    </row>
    <row r="257" spans="2:14" ht="15.75" customHeight="1" x14ac:dyDescent="0.2">
      <c r="B257" s="10" t="s">
        <v>220</v>
      </c>
      <c r="E257" s="6" t="s">
        <v>46</v>
      </c>
      <c r="F257" s="3">
        <f>(0.39+0.44)/2</f>
        <v>0.41500000000000004</v>
      </c>
      <c r="G257" s="3">
        <f>(17+18)/2</f>
        <v>17.5</v>
      </c>
      <c r="H257" s="3">
        <f>(5.4+6)/2</f>
        <v>5.7</v>
      </c>
      <c r="I257" s="3"/>
      <c r="J257" s="3">
        <f>(8.5+9.6)/2</f>
        <v>9.0500000000000007</v>
      </c>
      <c r="K257" s="3"/>
      <c r="L257" s="3"/>
      <c r="M257" s="3"/>
      <c r="N257" s="3"/>
    </row>
    <row r="258" spans="2:14" ht="15.75" customHeight="1" x14ac:dyDescent="0.2">
      <c r="B258" s="10" t="s">
        <v>221</v>
      </c>
      <c r="E258" s="6" t="s">
        <v>45</v>
      </c>
      <c r="F258" s="3">
        <f>(0.29+0.43)/2</f>
        <v>0.36</v>
      </c>
      <c r="G258" s="3">
        <f>(11+13)/2</f>
        <v>12</v>
      </c>
      <c r="H258" s="3">
        <f>(4.1+6)/2</f>
        <v>5.05</v>
      </c>
      <c r="I258" s="3"/>
      <c r="J258" s="3">
        <f>(9+12)/2</f>
        <v>10.5</v>
      </c>
      <c r="K258" s="3"/>
      <c r="L258" s="3"/>
      <c r="M258" s="3">
        <f>(59+64)/2</f>
        <v>61.5</v>
      </c>
      <c r="N258" s="3"/>
    </row>
    <row r="259" spans="2:14" ht="15.75" customHeight="1" x14ac:dyDescent="0.2">
      <c r="B259" s="10" t="s">
        <v>221</v>
      </c>
      <c r="E259" s="6" t="s">
        <v>46</v>
      </c>
      <c r="F259" s="3">
        <f>(0.26+0.33)/2</f>
        <v>0.29500000000000004</v>
      </c>
      <c r="G259" s="3">
        <f>(13+15)/2</f>
        <v>14</v>
      </c>
      <c r="H259" s="3">
        <f>(4.6+5.3)/2</f>
        <v>4.9499999999999993</v>
      </c>
      <c r="I259" s="3"/>
      <c r="J259" s="3">
        <f>(5.8+6.6)/2</f>
        <v>6.1999999999999993</v>
      </c>
      <c r="K259" s="3"/>
      <c r="L259" s="3"/>
      <c r="M259" s="3"/>
      <c r="N259" s="3"/>
    </row>
    <row r="260" spans="2:14" ht="15.75" customHeight="1" x14ac:dyDescent="0.2">
      <c r="B260" s="10" t="s">
        <v>222</v>
      </c>
      <c r="E260" s="6" t="s">
        <v>45</v>
      </c>
      <c r="F260" s="3">
        <f>(0.24+0.29)/2</f>
        <v>0.26500000000000001</v>
      </c>
      <c r="G260" s="3">
        <f>(13+16)/2</f>
        <v>14.5</v>
      </c>
      <c r="H260" s="3">
        <f>(3.3+4)/2</f>
        <v>3.65</v>
      </c>
      <c r="I260" s="3"/>
      <c r="J260" s="3">
        <f>(6+12)/2</f>
        <v>9</v>
      </c>
      <c r="K260" s="3"/>
      <c r="L260" s="3"/>
      <c r="M260" s="3">
        <f>(50+57)/2</f>
        <v>53.5</v>
      </c>
      <c r="N260" s="3"/>
    </row>
    <row r="261" spans="2:14" ht="15.75" customHeight="1" x14ac:dyDescent="0.2">
      <c r="B261" s="10" t="s">
        <v>222</v>
      </c>
      <c r="E261" s="6" t="s">
        <v>46</v>
      </c>
      <c r="F261" s="3">
        <f>(0.23+0.25)/2</f>
        <v>0.24</v>
      </c>
      <c r="G261" s="3">
        <f>(15+16)/2</f>
        <v>15.5</v>
      </c>
      <c r="H261" s="3">
        <v>3.8</v>
      </c>
      <c r="I261" s="3"/>
      <c r="J261" s="3">
        <f>(7.5+7.6)/2</f>
        <v>7.55</v>
      </c>
      <c r="K261" s="3"/>
      <c r="L261" s="3"/>
      <c r="M261" s="3"/>
      <c r="N261" s="3"/>
    </row>
    <row r="262" spans="2:14" ht="15.75" customHeight="1" x14ac:dyDescent="0.2">
      <c r="B262" s="10" t="s">
        <v>223</v>
      </c>
      <c r="E262" s="6" t="s">
        <v>45</v>
      </c>
      <c r="F262" s="3">
        <f>(0.7+0.85)/2</f>
        <v>0.77499999999999991</v>
      </c>
      <c r="G262" s="3">
        <f>(11+13)/2</f>
        <v>12</v>
      </c>
      <c r="H262" s="3">
        <f>(3.7+4.4)/2</f>
        <v>4.0500000000000007</v>
      </c>
      <c r="I262" s="3"/>
      <c r="J262" s="3">
        <f>(8.3+9.4)/2</f>
        <v>8.8500000000000014</v>
      </c>
      <c r="K262" s="3"/>
      <c r="L262" s="3"/>
      <c r="M262" s="3">
        <f>(63.8+65)/2</f>
        <v>64.400000000000006</v>
      </c>
      <c r="N262" s="3"/>
    </row>
    <row r="263" spans="2:14" ht="15.75" customHeight="1" x14ac:dyDescent="0.2">
      <c r="B263" s="10" t="s">
        <v>223</v>
      </c>
      <c r="E263" s="6" t="s">
        <v>46</v>
      </c>
      <c r="F263" s="3">
        <f>(0.54+0.68)/2</f>
        <v>0.6100000000000001</v>
      </c>
      <c r="G263" s="3">
        <f>(10+13.5)/2</f>
        <v>11.75</v>
      </c>
      <c r="H263" s="3">
        <f>(3.4+4.2)/2</f>
        <v>3.8</v>
      </c>
      <c r="I263" s="3"/>
      <c r="J263" s="3">
        <f>(10+11.6)/2</f>
        <v>10.8</v>
      </c>
      <c r="K263" s="3"/>
      <c r="L263" s="3"/>
      <c r="M263" s="3"/>
      <c r="N263" s="3"/>
    </row>
    <row r="264" spans="2:14" ht="15.75" customHeight="1" x14ac:dyDescent="0.2">
      <c r="B264" s="10" t="s">
        <v>224</v>
      </c>
      <c r="E264" s="6" t="s">
        <v>45</v>
      </c>
      <c r="F264" s="3">
        <f>(0.99+1.13)/2</f>
        <v>1.06</v>
      </c>
      <c r="G264" s="3">
        <f>(14+16)/2</f>
        <v>15</v>
      </c>
      <c r="H264" s="3">
        <f>(4.3+4.6)/2</f>
        <v>4.4499999999999993</v>
      </c>
      <c r="I264" s="3"/>
      <c r="J264" s="3">
        <f>(6+8)/2</f>
        <v>7</v>
      </c>
      <c r="K264" s="3"/>
      <c r="L264" s="3"/>
      <c r="M264" s="3">
        <f>(78+82)/2</f>
        <v>80</v>
      </c>
      <c r="N264" s="3"/>
    </row>
    <row r="265" spans="2:14" ht="15.75" customHeight="1" x14ac:dyDescent="0.2">
      <c r="B265" s="10" t="s">
        <v>224</v>
      </c>
      <c r="E265" s="6" t="s">
        <v>46</v>
      </c>
      <c r="F265" s="3">
        <f>(0.79+0.98)/2</f>
        <v>0.88500000000000001</v>
      </c>
      <c r="G265" s="3">
        <f>(17+21)/2</f>
        <v>19</v>
      </c>
      <c r="H265" s="3">
        <f>(3.9+4.6)/2</f>
        <v>4.25</v>
      </c>
      <c r="I265" s="3"/>
      <c r="J265" s="3">
        <f>(8+9.6)/2</f>
        <v>8.8000000000000007</v>
      </c>
      <c r="K265" s="3"/>
      <c r="L265" s="3"/>
      <c r="M265" s="3"/>
      <c r="N265" s="3"/>
    </row>
    <row r="266" spans="2:14" ht="15.75" customHeight="1" x14ac:dyDescent="0.2">
      <c r="B266" s="10" t="s">
        <v>225</v>
      </c>
      <c r="E266" s="6" t="s">
        <v>45</v>
      </c>
      <c r="F266" s="3">
        <f>(0.59+0.64)/2</f>
        <v>0.61499999999999999</v>
      </c>
      <c r="G266" s="3">
        <f>(18+19)/2</f>
        <v>18.5</v>
      </c>
      <c r="H266" s="3">
        <f>(4.4+5.8)/2</f>
        <v>5.0999999999999996</v>
      </c>
      <c r="I266" s="3"/>
      <c r="J266" s="3">
        <f>(5.8+8.4)/2</f>
        <v>7.1</v>
      </c>
      <c r="K266" s="3"/>
      <c r="L266" s="3"/>
      <c r="M266" s="3">
        <f>(54+59)/2</f>
        <v>56.5</v>
      </c>
      <c r="N266" s="3"/>
    </row>
    <row r="267" spans="2:14" ht="15.75" customHeight="1" x14ac:dyDescent="0.2">
      <c r="B267" s="10" t="s">
        <v>225</v>
      </c>
      <c r="E267" s="6" t="s">
        <v>46</v>
      </c>
      <c r="F267" s="3">
        <f>(0.59+0.65)/2</f>
        <v>0.62</v>
      </c>
      <c r="G267" s="3">
        <v>23</v>
      </c>
      <c r="H267" s="3">
        <f>(5.4+5.8)/2</f>
        <v>5.6</v>
      </c>
      <c r="I267" s="3"/>
      <c r="J267" s="3">
        <f>(7.3+7.4)/2</f>
        <v>7.35</v>
      </c>
      <c r="K267" s="3"/>
      <c r="L267" s="3"/>
      <c r="M267" s="3"/>
      <c r="N267" s="3"/>
    </row>
    <row r="268" spans="2:14" ht="15.75" customHeight="1" x14ac:dyDescent="0.2">
      <c r="B268" s="10" t="s">
        <v>226</v>
      </c>
      <c r="E268" s="6" t="s">
        <v>45</v>
      </c>
      <c r="F268" s="3">
        <v>0.75</v>
      </c>
      <c r="G268" s="3">
        <v>19</v>
      </c>
      <c r="H268" s="3">
        <v>6.2</v>
      </c>
      <c r="I268" s="3"/>
      <c r="J268" s="3">
        <v>10</v>
      </c>
      <c r="K268" s="3"/>
      <c r="L268" s="3"/>
      <c r="M268" s="3">
        <v>74</v>
      </c>
      <c r="N268" s="3"/>
    </row>
    <row r="269" spans="2:14" ht="15.75" customHeight="1" x14ac:dyDescent="0.2">
      <c r="B269" s="10" t="s">
        <v>227</v>
      </c>
      <c r="E269" s="6" t="s">
        <v>45</v>
      </c>
      <c r="F269" s="3">
        <v>1</v>
      </c>
      <c r="G269" s="3">
        <v>20</v>
      </c>
      <c r="H269" s="3">
        <v>5.5</v>
      </c>
      <c r="I269" s="3"/>
      <c r="J269" s="3">
        <v>21</v>
      </c>
      <c r="K269" s="3"/>
      <c r="L269" s="3"/>
      <c r="M269" s="3">
        <v>59</v>
      </c>
      <c r="N269" s="3"/>
    </row>
    <row r="270" spans="2:14" ht="15.75" customHeight="1" x14ac:dyDescent="0.2">
      <c r="B270" s="10" t="s">
        <v>227</v>
      </c>
      <c r="E270" s="6" t="s">
        <v>46</v>
      </c>
      <c r="F270" s="3">
        <v>0.9</v>
      </c>
      <c r="G270" s="3">
        <v>28</v>
      </c>
      <c r="H270" s="3">
        <v>4.0999999999999996</v>
      </c>
      <c r="I270" s="3"/>
      <c r="J270" s="3">
        <v>20</v>
      </c>
      <c r="K270" s="3"/>
      <c r="L270" s="3"/>
      <c r="M270" s="3"/>
      <c r="N270" s="3"/>
    </row>
    <row r="271" spans="2:14" ht="15.75" customHeight="1" x14ac:dyDescent="0.2">
      <c r="B271" s="10" t="s">
        <v>228</v>
      </c>
      <c r="E271" s="6" t="s">
        <v>45</v>
      </c>
      <c r="F271" s="3">
        <v>0.8</v>
      </c>
      <c r="G271" s="3">
        <v>31</v>
      </c>
      <c r="H271" s="3">
        <v>4</v>
      </c>
      <c r="I271" s="3"/>
      <c r="J271" s="3">
        <v>14</v>
      </c>
      <c r="K271" s="3"/>
      <c r="L271" s="3"/>
      <c r="M271" s="3">
        <v>55</v>
      </c>
      <c r="N271" s="3"/>
    </row>
    <row r="272" spans="2:14" ht="15.75" customHeight="1" x14ac:dyDescent="0.2">
      <c r="B272" s="10" t="s">
        <v>228</v>
      </c>
      <c r="E272" s="6" t="s">
        <v>46</v>
      </c>
      <c r="F272" s="3">
        <v>0.7</v>
      </c>
      <c r="G272" s="3">
        <v>32</v>
      </c>
      <c r="H272" s="3">
        <v>4</v>
      </c>
      <c r="I272" s="3"/>
      <c r="J272" s="3">
        <v>15</v>
      </c>
      <c r="K272" s="3"/>
      <c r="L272" s="3"/>
      <c r="M272" s="3"/>
      <c r="N272" s="3"/>
    </row>
    <row r="273" spans="2:14" ht="15.75" customHeight="1" x14ac:dyDescent="0.2">
      <c r="B273" s="10" t="s">
        <v>229</v>
      </c>
      <c r="E273" s="6" t="s">
        <v>45</v>
      </c>
      <c r="F273" s="3">
        <f>(0.65+0.75)/2</f>
        <v>0.7</v>
      </c>
      <c r="G273" s="3">
        <f>(23+31)/2</f>
        <v>27</v>
      </c>
      <c r="H273" s="3">
        <f>(4.2+4.5)/2</f>
        <v>4.3499999999999996</v>
      </c>
      <c r="I273" s="3"/>
      <c r="J273" s="3">
        <v>9.6999999999999993</v>
      </c>
      <c r="K273" s="3"/>
      <c r="L273" s="3"/>
      <c r="M273" s="3">
        <f>(74+75)/2</f>
        <v>74.5</v>
      </c>
      <c r="N273" s="3"/>
    </row>
    <row r="274" spans="2:14" ht="15.75" customHeight="1" x14ac:dyDescent="0.2">
      <c r="B274" s="10" t="s">
        <v>229</v>
      </c>
      <c r="E274" s="6" t="s">
        <v>46</v>
      </c>
      <c r="F274" s="3">
        <f>(0.65+0.84)/2</f>
        <v>0.745</v>
      </c>
      <c r="G274" s="3">
        <f>(26+30)/2</f>
        <v>28</v>
      </c>
      <c r="H274" s="3">
        <f>(5.6+6)/2</f>
        <v>5.8</v>
      </c>
      <c r="I274" s="3"/>
      <c r="J274" s="3">
        <f>(5.7+6.2)/2</f>
        <v>5.95</v>
      </c>
      <c r="K274" s="3"/>
      <c r="L274" s="3"/>
      <c r="M274" s="3"/>
      <c r="N274" s="3"/>
    </row>
    <row r="275" spans="2:14" ht="15.75" customHeight="1" x14ac:dyDescent="0.2">
      <c r="B275" s="10" t="s">
        <v>230</v>
      </c>
      <c r="C275" s="10" t="s">
        <v>231</v>
      </c>
      <c r="E275" s="6" t="s">
        <v>45</v>
      </c>
      <c r="F275" s="3">
        <f>(0.88+0.92)/2</f>
        <v>0.9</v>
      </c>
      <c r="G275" s="3">
        <f>(17+18)/2</f>
        <v>17.5</v>
      </c>
      <c r="H275" s="3">
        <v>6</v>
      </c>
      <c r="I275" s="3"/>
      <c r="J275" s="3">
        <v>11</v>
      </c>
      <c r="K275" s="3"/>
      <c r="L275" s="3"/>
      <c r="M275" s="3">
        <v>69</v>
      </c>
      <c r="N275" s="3"/>
    </row>
    <row r="276" spans="2:14" ht="15.75" customHeight="1" x14ac:dyDescent="0.2">
      <c r="B276" s="10" t="s">
        <v>230</v>
      </c>
      <c r="C276" s="10" t="s">
        <v>231</v>
      </c>
      <c r="E276" s="6" t="s">
        <v>46</v>
      </c>
      <c r="F276" s="3">
        <f>(0.75+0.88)/2</f>
        <v>0.81499999999999995</v>
      </c>
      <c r="G276" s="3">
        <f>(21+23)/2</f>
        <v>22</v>
      </c>
      <c r="H276" s="3">
        <v>5</v>
      </c>
      <c r="I276" s="3"/>
      <c r="J276" s="3">
        <f>(7.5+8.7)/2</f>
        <v>8.1</v>
      </c>
      <c r="K276" s="3"/>
      <c r="L276" s="3"/>
      <c r="M276" s="3"/>
      <c r="N276" s="3"/>
    </row>
    <row r="277" spans="2:14" ht="15.75" customHeight="1" x14ac:dyDescent="0.2">
      <c r="B277" s="10" t="s">
        <v>232</v>
      </c>
      <c r="E277" s="6" t="s">
        <v>45</v>
      </c>
      <c r="F277" s="3">
        <f>(1+1.4)/2</f>
        <v>1.2</v>
      </c>
      <c r="G277" s="3">
        <f>(16+18)/2</f>
        <v>17</v>
      </c>
      <c r="H277" s="3">
        <f>(4.5+6.5)/2</f>
        <v>5.5</v>
      </c>
      <c r="I277" s="3"/>
      <c r="J277" s="3">
        <f>(9.3+16)/2</f>
        <v>12.65</v>
      </c>
      <c r="K277" s="3"/>
      <c r="L277" s="3"/>
      <c r="M277" s="3">
        <f>(85+88)/2</f>
        <v>86.5</v>
      </c>
      <c r="N277" s="3"/>
    </row>
    <row r="278" spans="2:14" ht="15.75" customHeight="1" x14ac:dyDescent="0.2">
      <c r="B278" s="10" t="s">
        <v>232</v>
      </c>
      <c r="E278" s="6" t="s">
        <v>46</v>
      </c>
      <c r="F278" s="3">
        <f>(0.9+1.4)/2</f>
        <v>1.1499999999999999</v>
      </c>
      <c r="G278" s="3">
        <f>(19+21)/2</f>
        <v>20</v>
      </c>
      <c r="H278" s="3">
        <f>(3.9+5.2)/2</f>
        <v>4.55</v>
      </c>
      <c r="I278" s="3"/>
      <c r="J278" s="3">
        <f>(9.3+13)/2</f>
        <v>11.15</v>
      </c>
      <c r="K278" s="3"/>
      <c r="L278" s="3"/>
      <c r="M278" s="3"/>
      <c r="N278" s="3"/>
    </row>
    <row r="279" spans="2:14" ht="15.75" customHeight="1" x14ac:dyDescent="0.2">
      <c r="B279" s="10" t="s">
        <v>233</v>
      </c>
      <c r="E279" s="6" t="s">
        <v>45</v>
      </c>
      <c r="F279" s="3">
        <f>(0.27+0.28)/2</f>
        <v>0.27500000000000002</v>
      </c>
      <c r="G279" s="3">
        <f>(22+25)/2</f>
        <v>23.5</v>
      </c>
      <c r="H279" s="3">
        <f>(3.9+4.3)/2</f>
        <v>4.0999999999999996</v>
      </c>
      <c r="I279" s="3"/>
      <c r="J279" s="3">
        <f>(5.2+6.5)/2</f>
        <v>5.85</v>
      </c>
      <c r="K279" s="3"/>
      <c r="L279" s="3"/>
      <c r="M279" s="3">
        <f>(57+63)/2</f>
        <v>60</v>
      </c>
      <c r="N279" s="3"/>
    </row>
    <row r="280" spans="2:14" ht="15.75" customHeight="1" x14ac:dyDescent="0.2">
      <c r="B280" s="10" t="s">
        <v>234</v>
      </c>
      <c r="E280" s="6" t="s">
        <v>45</v>
      </c>
      <c r="F280" s="3">
        <f>(0.59+0.77)/2</f>
        <v>0.67999999999999994</v>
      </c>
      <c r="G280" s="3">
        <f>(22+24)/2</f>
        <v>23</v>
      </c>
      <c r="H280" s="3">
        <f>(4.9+5.7)/2</f>
        <v>5.3000000000000007</v>
      </c>
      <c r="I280" s="3"/>
      <c r="J280" s="3">
        <f>(5.1+6.1)/2</f>
        <v>5.6</v>
      </c>
      <c r="K280" s="3"/>
      <c r="L280" s="3"/>
      <c r="M280" s="3">
        <f>(52+55)/2</f>
        <v>53.5</v>
      </c>
      <c r="N280" s="3"/>
    </row>
    <row r="281" spans="2:14" ht="15.75" customHeight="1" x14ac:dyDescent="0.2">
      <c r="B281" s="10" t="s">
        <v>234</v>
      </c>
      <c r="E281" s="6" t="s">
        <v>46</v>
      </c>
      <c r="F281" s="3">
        <f>(0.48+0.55)/2</f>
        <v>0.51500000000000001</v>
      </c>
      <c r="G281" s="3">
        <f>(23+24)/2</f>
        <v>23.5</v>
      </c>
      <c r="H281" s="3">
        <f>(4.3+4.9)/2</f>
        <v>4.5999999999999996</v>
      </c>
      <c r="I281" s="3"/>
      <c r="J281" s="3">
        <f>(8.6+10)/2</f>
        <v>9.3000000000000007</v>
      </c>
      <c r="K281" s="3"/>
      <c r="L281" s="3"/>
      <c r="M281" s="3"/>
      <c r="N281" s="3"/>
    </row>
    <row r="282" spans="2:14" ht="15.75" customHeight="1" x14ac:dyDescent="0.2">
      <c r="B282" s="10" t="s">
        <v>235</v>
      </c>
      <c r="E282" s="6" t="s">
        <v>45</v>
      </c>
      <c r="F282" s="3">
        <f>(1.4+2.3)/2</f>
        <v>1.8499999999999999</v>
      </c>
      <c r="G282" s="3">
        <f>(33+58)/2</f>
        <v>45.5</v>
      </c>
      <c r="H282" s="3">
        <f>(8.2+12)/2</f>
        <v>10.1</v>
      </c>
      <c r="I282" s="3"/>
      <c r="J282" s="3">
        <f>(6.1+7.9)/2</f>
        <v>7</v>
      </c>
      <c r="K282" s="3"/>
      <c r="L282" s="3"/>
      <c r="M282" s="3">
        <f>(55+56)/2</f>
        <v>55.5</v>
      </c>
      <c r="N282" s="3"/>
    </row>
    <row r="283" spans="2:14" ht="15.75" customHeight="1" x14ac:dyDescent="0.2">
      <c r="B283" s="10" t="s">
        <v>235</v>
      </c>
      <c r="E283" s="6" t="s">
        <v>46</v>
      </c>
      <c r="F283" s="3">
        <f>(1.2+1.6)/2</f>
        <v>1.4</v>
      </c>
      <c r="G283" s="3">
        <f>(43+53)/2</f>
        <v>48</v>
      </c>
      <c r="H283" s="3">
        <f>(7.4+8.3)/2</f>
        <v>7.8500000000000005</v>
      </c>
      <c r="I283" s="3"/>
      <c r="J283" s="3">
        <f>(6.6+9.7)/2</f>
        <v>8.1499999999999986</v>
      </c>
      <c r="K283" s="3"/>
      <c r="L283" s="3"/>
      <c r="M283" s="3"/>
      <c r="N283" s="3"/>
    </row>
    <row r="284" spans="2:14" ht="15.75" customHeight="1" x14ac:dyDescent="0.2">
      <c r="B284" s="10" t="s">
        <v>236</v>
      </c>
      <c r="E284" s="6" t="s">
        <v>45</v>
      </c>
      <c r="F284" s="3">
        <f>(0.85+0.97)/2</f>
        <v>0.90999999999999992</v>
      </c>
      <c r="G284" s="3">
        <f>(21+24)/2</f>
        <v>22.5</v>
      </c>
      <c r="H284" s="3">
        <f>(4.7+4.8)/2</f>
        <v>4.75</v>
      </c>
      <c r="I284" s="3"/>
      <c r="J284" s="3">
        <f>(8+11)/2</f>
        <v>9.5</v>
      </c>
      <c r="K284" s="3"/>
      <c r="L284" s="3"/>
      <c r="M284" s="3">
        <f>(50+54)/2</f>
        <v>52</v>
      </c>
      <c r="N284" s="3"/>
    </row>
    <row r="285" spans="2:14" ht="15.75" customHeight="1" x14ac:dyDescent="0.2">
      <c r="B285" s="10" t="s">
        <v>236</v>
      </c>
      <c r="E285" s="6" t="s">
        <v>46</v>
      </c>
      <c r="F285" s="3">
        <f>(0.7+0.75)/2</f>
        <v>0.72499999999999998</v>
      </c>
      <c r="G285" s="3">
        <f>(23+25)/2</f>
        <v>24</v>
      </c>
      <c r="H285" s="3">
        <v>4.4000000000000004</v>
      </c>
      <c r="I285" s="3"/>
      <c r="J285" s="3">
        <v>50</v>
      </c>
      <c r="K285" s="3"/>
      <c r="L285" s="3"/>
      <c r="M285" s="3"/>
      <c r="N285" s="3"/>
    </row>
    <row r="286" spans="2:14" ht="15.75" customHeight="1" x14ac:dyDescent="0.2">
      <c r="B286" s="10" t="s">
        <v>237</v>
      </c>
      <c r="E286" s="6" t="s">
        <v>45</v>
      </c>
      <c r="F286" s="3">
        <v>0.67</v>
      </c>
      <c r="G286" s="3">
        <v>27</v>
      </c>
      <c r="H286" s="3">
        <v>4.9000000000000004</v>
      </c>
      <c r="I286" s="3"/>
      <c r="J286" s="3">
        <v>16</v>
      </c>
      <c r="K286" s="3"/>
      <c r="L286" s="3"/>
      <c r="M286" s="3">
        <v>58</v>
      </c>
      <c r="N286" s="3"/>
    </row>
    <row r="287" spans="2:14" ht="15.75" customHeight="1" x14ac:dyDescent="0.2">
      <c r="B287" s="10" t="s">
        <v>237</v>
      </c>
      <c r="E287" s="6" t="s">
        <v>46</v>
      </c>
      <c r="F287" s="3">
        <v>0.63</v>
      </c>
      <c r="G287" s="3">
        <v>32</v>
      </c>
      <c r="H287" s="3">
        <v>4.8</v>
      </c>
      <c r="I287" s="3"/>
      <c r="J287" s="3">
        <v>17</v>
      </c>
      <c r="K287" s="3"/>
      <c r="L287" s="3"/>
      <c r="M287" s="3"/>
      <c r="N287" s="3"/>
    </row>
    <row r="288" spans="2:14" ht="15.75" customHeight="1" x14ac:dyDescent="0.2">
      <c r="B288" s="10" t="s">
        <v>238</v>
      </c>
      <c r="E288" s="6" t="s">
        <v>45</v>
      </c>
      <c r="F288" s="3">
        <f>(0.7+1)/2</f>
        <v>0.85</v>
      </c>
      <c r="G288" s="3">
        <f>(18+23)/2</f>
        <v>20.5</v>
      </c>
      <c r="H288" s="3">
        <f>(4+4.5)/2</f>
        <v>4.25</v>
      </c>
      <c r="I288" s="3"/>
      <c r="J288" s="3">
        <f>(13+16)/2</f>
        <v>14.5</v>
      </c>
      <c r="K288" s="3"/>
      <c r="L288" s="3"/>
      <c r="M288" s="3">
        <f>(60+63)/2</f>
        <v>61.5</v>
      </c>
      <c r="N288" s="3"/>
    </row>
    <row r="289" spans="2:14" ht="15.75" customHeight="1" x14ac:dyDescent="0.2">
      <c r="B289" s="10" t="s">
        <v>238</v>
      </c>
      <c r="E289" s="6" t="s">
        <v>46</v>
      </c>
      <c r="F289" s="3">
        <f>(0.6+0.8)/2</f>
        <v>0.7</v>
      </c>
      <c r="G289" s="3">
        <v>22</v>
      </c>
      <c r="H289" s="3">
        <v>4.3</v>
      </c>
      <c r="I289" s="3"/>
      <c r="J289" s="3">
        <v>4.3</v>
      </c>
      <c r="K289" s="3"/>
      <c r="L289" s="3"/>
      <c r="M289" s="3"/>
      <c r="N289" s="3"/>
    </row>
    <row r="290" spans="2:14" ht="15.75" customHeight="1" x14ac:dyDescent="0.2">
      <c r="B290" s="10" t="s">
        <v>239</v>
      </c>
      <c r="E290" s="6" t="s">
        <v>45</v>
      </c>
      <c r="F290" s="3">
        <v>0.65</v>
      </c>
      <c r="G290" s="3">
        <v>19</v>
      </c>
      <c r="H290" s="3">
        <v>3.9</v>
      </c>
      <c r="I290" s="3"/>
      <c r="J290" s="3">
        <v>8.3000000000000007</v>
      </c>
      <c r="K290" s="3"/>
      <c r="L290" s="3"/>
      <c r="M290" s="3">
        <v>60</v>
      </c>
      <c r="N290" s="3"/>
    </row>
    <row r="291" spans="2:14" ht="15.75" customHeight="1" x14ac:dyDescent="0.2">
      <c r="B291" s="10" t="s">
        <v>239</v>
      </c>
      <c r="E291" s="6" t="s">
        <v>46</v>
      </c>
      <c r="F291" s="3">
        <v>0.55000000000000004</v>
      </c>
      <c r="G291" s="3">
        <v>21</v>
      </c>
      <c r="H291" s="3">
        <v>3.5</v>
      </c>
      <c r="I291" s="3"/>
      <c r="J291" s="3">
        <v>12</v>
      </c>
      <c r="K291" s="3"/>
      <c r="L291" s="3"/>
      <c r="M291" s="3"/>
      <c r="N291" s="3"/>
    </row>
    <row r="292" spans="2:14" ht="15.75" customHeight="1" x14ac:dyDescent="0.2">
      <c r="B292" s="10" t="s">
        <v>240</v>
      </c>
      <c r="E292" s="6" t="s">
        <v>45</v>
      </c>
      <c r="F292" s="3">
        <f>(0.35+0.48)/2</f>
        <v>0.41499999999999998</v>
      </c>
      <c r="G292" s="3">
        <f>(12+15)/2</f>
        <v>13.5</v>
      </c>
      <c r="H292" s="3">
        <f>(3.4+3.7)/2</f>
        <v>3.55</v>
      </c>
      <c r="I292" s="3"/>
      <c r="J292" s="3">
        <f>(16+20)/2</f>
        <v>18</v>
      </c>
      <c r="K292" s="3"/>
      <c r="L292" s="3"/>
      <c r="M292" s="3">
        <v>66</v>
      </c>
      <c r="N292" s="3"/>
    </row>
    <row r="293" spans="2:14" ht="15.75" customHeight="1" x14ac:dyDescent="0.2">
      <c r="B293" s="10" t="s">
        <v>241</v>
      </c>
      <c r="E293" s="6" t="s">
        <v>45</v>
      </c>
      <c r="F293" s="3">
        <v>1.2</v>
      </c>
      <c r="G293" s="3">
        <v>22</v>
      </c>
      <c r="H293" s="3">
        <v>4</v>
      </c>
      <c r="I293" s="3"/>
      <c r="J293" s="3">
        <v>23</v>
      </c>
      <c r="K293" s="3"/>
      <c r="L293" s="3"/>
      <c r="M293" s="3">
        <v>65</v>
      </c>
      <c r="N293" s="3"/>
    </row>
    <row r="294" spans="2:14" ht="15.75" customHeight="1" x14ac:dyDescent="0.2">
      <c r="B294" s="10" t="s">
        <v>241</v>
      </c>
      <c r="E294" s="6" t="s">
        <v>46</v>
      </c>
      <c r="F294" s="3">
        <v>1</v>
      </c>
      <c r="G294" s="3">
        <v>28</v>
      </c>
      <c r="H294" s="3">
        <v>4</v>
      </c>
      <c r="I294" s="3"/>
      <c r="J294" s="3">
        <v>21</v>
      </c>
      <c r="K294" s="3"/>
      <c r="L294" s="3"/>
      <c r="M294" s="3"/>
      <c r="N294" s="3"/>
    </row>
    <row r="295" spans="2:14" ht="15.75" customHeight="1" x14ac:dyDescent="0.2">
      <c r="B295" s="10" t="s">
        <v>242</v>
      </c>
      <c r="E295" s="6" t="s">
        <v>45</v>
      </c>
      <c r="F295" s="3">
        <f>(0.6+0.9)/2</f>
        <v>0.75</v>
      </c>
      <c r="G295" s="3">
        <f>(18+20)/2</f>
        <v>19</v>
      </c>
      <c r="H295" s="3">
        <f>(4+5)/2</f>
        <v>4.5</v>
      </c>
      <c r="I295" s="3"/>
      <c r="J295" s="3">
        <f>(17+20)/2</f>
        <v>18.5</v>
      </c>
      <c r="K295" s="3"/>
      <c r="L295" s="3"/>
      <c r="M295" s="3">
        <v>66</v>
      </c>
      <c r="N295" s="3"/>
    </row>
    <row r="296" spans="2:14" ht="15.75" customHeight="1" x14ac:dyDescent="0.2">
      <c r="B296" s="10" t="s">
        <v>242</v>
      </c>
      <c r="E296" s="6" t="s">
        <v>46</v>
      </c>
      <c r="F296" s="3">
        <v>0.75</v>
      </c>
      <c r="G296" s="3">
        <v>26</v>
      </c>
      <c r="H296" s="3">
        <v>4.5999999999999996</v>
      </c>
      <c r="I296" s="3"/>
      <c r="J296" s="3">
        <v>17</v>
      </c>
      <c r="K296" s="3"/>
      <c r="L296" s="3"/>
      <c r="M296" s="3"/>
      <c r="N296" s="3"/>
    </row>
    <row r="297" spans="2:14" ht="15.75" customHeight="1" x14ac:dyDescent="0.2">
      <c r="B297" s="10" t="s">
        <v>243</v>
      </c>
      <c r="E297" s="6" t="s">
        <v>45</v>
      </c>
      <c r="F297" s="3">
        <f>(0.7+0.9)/2</f>
        <v>0.8</v>
      </c>
      <c r="G297" s="3">
        <f>(14+18)/2</f>
        <v>16</v>
      </c>
      <c r="H297" s="3">
        <f>(2.9+3.7)/2</f>
        <v>3.3</v>
      </c>
      <c r="I297" s="3"/>
      <c r="J297" s="3">
        <f>(14+18)/2</f>
        <v>16</v>
      </c>
      <c r="K297" s="3"/>
      <c r="L297" s="3"/>
      <c r="M297" s="3">
        <v>67</v>
      </c>
      <c r="N297" s="3"/>
    </row>
    <row r="298" spans="2:14" ht="15.75" customHeight="1" x14ac:dyDescent="0.2">
      <c r="B298" s="10" t="s">
        <v>244</v>
      </c>
      <c r="E298" s="6" t="s">
        <v>45</v>
      </c>
      <c r="F298" s="3">
        <v>0.38</v>
      </c>
      <c r="G298" s="3">
        <v>12.5</v>
      </c>
      <c r="H298" s="3">
        <v>3</v>
      </c>
      <c r="I298" s="3"/>
      <c r="J298" s="3">
        <v>11</v>
      </c>
      <c r="K298" s="3"/>
      <c r="L298" s="3"/>
      <c r="M298" s="3">
        <v>64</v>
      </c>
      <c r="N298" s="3"/>
    </row>
    <row r="299" spans="2:14" ht="15.75" customHeight="1" x14ac:dyDescent="0.2">
      <c r="B299" s="10" t="s">
        <v>244</v>
      </c>
      <c r="E299" s="6" t="s">
        <v>46</v>
      </c>
      <c r="F299" s="3">
        <v>0.38</v>
      </c>
      <c r="G299" s="3">
        <v>15</v>
      </c>
      <c r="H299" s="3">
        <v>3.4</v>
      </c>
      <c r="I299" s="3"/>
      <c r="J299" s="3">
        <v>12</v>
      </c>
      <c r="K299" s="3"/>
      <c r="L299" s="3"/>
      <c r="M299" s="3"/>
      <c r="N299" s="3"/>
    </row>
    <row r="300" spans="2:14" ht="15.75" customHeight="1" x14ac:dyDescent="0.2">
      <c r="B300" s="10" t="s">
        <v>245</v>
      </c>
      <c r="E300" s="6" t="s">
        <v>45</v>
      </c>
      <c r="F300" s="11">
        <v>0.5</v>
      </c>
      <c r="G300" s="11">
        <v>21</v>
      </c>
      <c r="H300" s="11">
        <v>3.6</v>
      </c>
      <c r="I300" s="11"/>
      <c r="J300" s="11">
        <v>15</v>
      </c>
      <c r="K300" s="11"/>
      <c r="L300" s="11"/>
      <c r="M300" s="11">
        <v>66</v>
      </c>
      <c r="N300" s="11"/>
    </row>
    <row r="301" spans="2:14" ht="15.75" customHeight="1" x14ac:dyDescent="0.2">
      <c r="B301" s="10" t="s">
        <v>245</v>
      </c>
      <c r="E301" s="6" t="s">
        <v>46</v>
      </c>
      <c r="F301" s="11">
        <v>0.46</v>
      </c>
      <c r="G301" s="11">
        <v>23</v>
      </c>
      <c r="H301" s="11">
        <v>4</v>
      </c>
      <c r="I301" s="11"/>
      <c r="J301" s="11">
        <v>14</v>
      </c>
      <c r="K301" s="11"/>
      <c r="L301" s="11"/>
      <c r="M301" s="11"/>
      <c r="N301" s="11"/>
    </row>
    <row r="302" spans="2:14" ht="15.75" customHeight="1" x14ac:dyDescent="0.2">
      <c r="B302" s="10" t="s">
        <v>246</v>
      </c>
      <c r="E302" s="6" t="s">
        <v>45</v>
      </c>
      <c r="F302" s="3">
        <f>(0.52+0.64)/2</f>
        <v>0.58000000000000007</v>
      </c>
      <c r="G302" s="3">
        <f>(16+18)/2</f>
        <v>17</v>
      </c>
      <c r="H302" s="3">
        <f>(3.4+3.8)/2</f>
        <v>3.5999999999999996</v>
      </c>
      <c r="I302" s="3"/>
      <c r="J302" s="3">
        <f>(8+10)/2</f>
        <v>9</v>
      </c>
      <c r="K302" s="3"/>
      <c r="L302" s="3"/>
      <c r="M302" s="3">
        <v>60</v>
      </c>
      <c r="N302" s="3"/>
    </row>
    <row r="303" spans="2:14" ht="15.75" customHeight="1" x14ac:dyDescent="0.2">
      <c r="B303" s="10" t="s">
        <v>246</v>
      </c>
      <c r="E303" s="6" t="s">
        <v>46</v>
      </c>
      <c r="F303" s="3">
        <f>(0.5+0.61)/2</f>
        <v>0.55499999999999994</v>
      </c>
      <c r="G303" s="3">
        <f>(15+19)/2</f>
        <v>17</v>
      </c>
      <c r="H303" s="3">
        <f>(3.6+3.8)/2</f>
        <v>3.7</v>
      </c>
      <c r="I303" s="3"/>
      <c r="J303" s="3">
        <f>(10+12)/2</f>
        <v>11</v>
      </c>
      <c r="K303" s="3"/>
      <c r="L303" s="3"/>
      <c r="M303" s="3"/>
      <c r="N303" s="3"/>
    </row>
    <row r="304" spans="2:14" ht="15.75" customHeight="1" x14ac:dyDescent="0.2">
      <c r="B304" s="10" t="s">
        <v>247</v>
      </c>
      <c r="E304" s="6" t="s">
        <v>45</v>
      </c>
      <c r="F304" s="3">
        <f>(0.3+0.57)/2</f>
        <v>0.43499999999999994</v>
      </c>
      <c r="G304" s="3">
        <f>(26+41)/2</f>
        <v>33.5</v>
      </c>
      <c r="H304" s="3">
        <f>(3+5)/2</f>
        <v>4</v>
      </c>
      <c r="I304" s="3"/>
      <c r="J304" s="3">
        <f>(3+6.5)/2</f>
        <v>4.75</v>
      </c>
      <c r="K304" s="3"/>
      <c r="L304" s="3"/>
      <c r="M304" s="3">
        <v>44</v>
      </c>
      <c r="N304" s="3"/>
    </row>
    <row r="305" spans="2:14" ht="15.75" customHeight="1" x14ac:dyDescent="0.2">
      <c r="B305" s="10" t="s">
        <v>247</v>
      </c>
      <c r="E305" s="6" t="s">
        <v>46</v>
      </c>
      <c r="F305" s="3">
        <v>0.4</v>
      </c>
      <c r="G305" s="3">
        <v>40</v>
      </c>
      <c r="H305" s="3">
        <v>4</v>
      </c>
      <c r="I305" s="3"/>
      <c r="J305" s="3">
        <f>(5+6)/2</f>
        <v>5.5</v>
      </c>
      <c r="K305" s="3"/>
      <c r="L305" s="3"/>
      <c r="M305" s="3"/>
      <c r="N305" s="3"/>
    </row>
    <row r="306" spans="2:14" ht="15.75" customHeight="1" x14ac:dyDescent="0.2">
      <c r="B306" s="10" t="s">
        <v>248</v>
      </c>
      <c r="E306" s="6" t="s">
        <v>45</v>
      </c>
      <c r="F306" s="3">
        <f>(0.93+1)/2</f>
        <v>0.96500000000000008</v>
      </c>
      <c r="G306" s="3">
        <f>(30+42)/2</f>
        <v>36</v>
      </c>
      <c r="H306" s="3">
        <f>(4.5+4.8)/2</f>
        <v>4.6500000000000004</v>
      </c>
      <c r="I306" s="3"/>
      <c r="J306" s="3">
        <f>(9.6+11)/2</f>
        <v>10.3</v>
      </c>
      <c r="K306" s="3"/>
      <c r="L306" s="3"/>
      <c r="M306" s="3">
        <f>(52+57)/2</f>
        <v>54.5</v>
      </c>
      <c r="N306" s="3"/>
    </row>
    <row r="307" spans="2:14" ht="15.75" customHeight="1" x14ac:dyDescent="0.2">
      <c r="B307" s="10" t="s">
        <v>248</v>
      </c>
      <c r="E307" s="6" t="s">
        <v>46</v>
      </c>
      <c r="F307" s="3">
        <f>(0.78+0.9)/2</f>
        <v>0.84000000000000008</v>
      </c>
      <c r="G307" s="3">
        <f>(27+40)/2</f>
        <v>33.5</v>
      </c>
      <c r="H307" s="3">
        <f>(3.9+4.4)/2</f>
        <v>4.1500000000000004</v>
      </c>
      <c r="I307" s="3"/>
      <c r="J307" s="3">
        <f>(7.4+8.3)/2</f>
        <v>7.8500000000000005</v>
      </c>
      <c r="K307" s="3"/>
      <c r="L307" s="3"/>
      <c r="M307" s="3"/>
      <c r="N307" s="3"/>
    </row>
    <row r="308" spans="2:14" ht="15.75" customHeight="1" x14ac:dyDescent="0.2">
      <c r="B308" s="10" t="s">
        <v>249</v>
      </c>
      <c r="C308" s="10" t="s">
        <v>250</v>
      </c>
      <c r="E308" s="6" t="s">
        <v>45</v>
      </c>
      <c r="F308" s="3">
        <f>(0.96+1.1)/2</f>
        <v>1.03</v>
      </c>
      <c r="G308" s="3">
        <f>(28+34)/2</f>
        <v>31</v>
      </c>
      <c r="H308" s="3">
        <f>(4.8+5.4)/2</f>
        <v>5.0999999999999996</v>
      </c>
      <c r="I308" s="3"/>
      <c r="J308" s="3">
        <f>(20+22)/2</f>
        <v>21</v>
      </c>
      <c r="K308" s="3"/>
      <c r="L308" s="3"/>
      <c r="M308" s="3">
        <f>(46+53)/2</f>
        <v>49.5</v>
      </c>
      <c r="N308" s="3"/>
    </row>
    <row r="309" spans="2:14" ht="15.75" customHeight="1" x14ac:dyDescent="0.2">
      <c r="B309" s="10" t="s">
        <v>249</v>
      </c>
      <c r="C309" s="10" t="s">
        <v>250</v>
      </c>
      <c r="E309" s="6" t="s">
        <v>46</v>
      </c>
      <c r="F309" s="3">
        <f>(0.91+1)/2</f>
        <v>0.95500000000000007</v>
      </c>
      <c r="G309" s="3">
        <f>(35+41)/2</f>
        <v>38</v>
      </c>
      <c r="H309" s="3">
        <f>(4.8+5.3)/2</f>
        <v>5.05</v>
      </c>
      <c r="I309" s="3"/>
      <c r="J309" s="3">
        <f>(15+16)/2</f>
        <v>15.5</v>
      </c>
      <c r="K309" s="3"/>
      <c r="L309" s="3"/>
      <c r="M309" s="3"/>
      <c r="N309" s="3"/>
    </row>
    <row r="310" spans="2:14" ht="15.75" customHeight="1" x14ac:dyDescent="0.2">
      <c r="B310" s="10" t="s">
        <v>251</v>
      </c>
      <c r="C310" s="10" t="s">
        <v>252</v>
      </c>
      <c r="E310" s="6" t="s">
        <v>45</v>
      </c>
      <c r="F310" s="3">
        <f>(0.9+1.19)/2</f>
        <v>1.0449999999999999</v>
      </c>
      <c r="G310" s="3">
        <f>(30+33)/2</f>
        <v>31.5</v>
      </c>
      <c r="H310" s="3">
        <f>(6.5+7)/2</f>
        <v>6.75</v>
      </c>
      <c r="I310" s="3"/>
      <c r="J310" s="3">
        <f>(5.4+6)/2</f>
        <v>5.7</v>
      </c>
      <c r="K310" s="3"/>
      <c r="L310" s="3"/>
      <c r="M310" s="3">
        <v>42</v>
      </c>
      <c r="N310" s="3"/>
    </row>
    <row r="311" spans="2:14" ht="15.75" customHeight="1" x14ac:dyDescent="0.2">
      <c r="B311" s="10" t="s">
        <v>253</v>
      </c>
      <c r="E311" s="6" t="s">
        <v>45</v>
      </c>
      <c r="F311" s="3">
        <f>(0.96+1.07)/2</f>
        <v>1.0150000000000001</v>
      </c>
      <c r="G311" s="3">
        <f>(24+28)/2</f>
        <v>26</v>
      </c>
      <c r="H311" s="3">
        <f>(5.1+5.9)/2</f>
        <v>5.5</v>
      </c>
      <c r="I311" s="3"/>
      <c r="J311" s="3">
        <f>(4.8+5.3)/2</f>
        <v>5.05</v>
      </c>
      <c r="K311" s="3"/>
      <c r="L311" s="3"/>
      <c r="M311" s="3">
        <f>(44+49)/2</f>
        <v>46.5</v>
      </c>
      <c r="N311" s="3"/>
    </row>
    <row r="312" spans="2:14" ht="15.75" customHeight="1" x14ac:dyDescent="0.2">
      <c r="B312" s="10" t="s">
        <v>253</v>
      </c>
      <c r="E312" s="6" t="s">
        <v>46</v>
      </c>
      <c r="F312" s="3">
        <f>(1.04+1.07)/2</f>
        <v>1.0550000000000002</v>
      </c>
      <c r="G312" s="3">
        <f>(27+28)/2</f>
        <v>27.5</v>
      </c>
      <c r="H312" s="3">
        <f>(6.1+6.7)/2</f>
        <v>6.4</v>
      </c>
      <c r="I312" s="3"/>
      <c r="J312" s="3">
        <f>(6.2+6.3)/2</f>
        <v>6.25</v>
      </c>
      <c r="K312" s="3"/>
      <c r="L312" s="3"/>
      <c r="M312" s="3"/>
      <c r="N312" s="3"/>
    </row>
    <row r="313" spans="2:14" ht="15.75" customHeight="1" x14ac:dyDescent="0.2">
      <c r="B313" s="10" t="s">
        <v>254</v>
      </c>
      <c r="E313" s="6" t="s">
        <v>45</v>
      </c>
      <c r="F313" s="3">
        <f>(1.16+1.44)/2</f>
        <v>1.2999999999999998</v>
      </c>
      <c r="G313" s="3">
        <f>(53+69)/2</f>
        <v>61</v>
      </c>
      <c r="H313" s="3">
        <f>(4.7+5.4)/2</f>
        <v>5.0500000000000007</v>
      </c>
      <c r="I313" s="3"/>
      <c r="J313" s="3">
        <f>(7.4+8.7)/2</f>
        <v>8.0500000000000007</v>
      </c>
      <c r="K313" s="3"/>
      <c r="L313" s="3"/>
      <c r="M313" s="3">
        <f>(48+51)/2</f>
        <v>49.5</v>
      </c>
      <c r="N313" s="3"/>
    </row>
    <row r="314" spans="2:14" ht="15.75" customHeight="1" x14ac:dyDescent="0.2">
      <c r="B314" s="10" t="s">
        <v>255</v>
      </c>
      <c r="C314" s="10" t="s">
        <v>256</v>
      </c>
      <c r="E314" s="6" t="s">
        <v>45</v>
      </c>
      <c r="F314" s="3">
        <f>(0.38+0.45)/2</f>
        <v>0.41500000000000004</v>
      </c>
      <c r="G314" s="3">
        <f>(16+20)/2</f>
        <v>18</v>
      </c>
      <c r="H314" s="3">
        <f>(4.8+5.3)/2</f>
        <v>5.05</v>
      </c>
      <c r="I314" s="3"/>
      <c r="J314" s="3">
        <f>(2.8+3.5)/2</f>
        <v>3.15</v>
      </c>
      <c r="K314" s="3"/>
      <c r="L314" s="3"/>
      <c r="M314" s="3">
        <f>(38+42)/2</f>
        <v>40</v>
      </c>
      <c r="N314" s="3"/>
    </row>
    <row r="315" spans="2:14" ht="15.75" customHeight="1" x14ac:dyDescent="0.2">
      <c r="B315" s="10" t="s">
        <v>257</v>
      </c>
      <c r="C315" s="10" t="s">
        <v>258</v>
      </c>
      <c r="E315" s="6" t="s">
        <v>45</v>
      </c>
      <c r="F315" s="11">
        <v>0.56999999999999995</v>
      </c>
      <c r="G315" s="3">
        <f>(15+16)/2</f>
        <v>15.5</v>
      </c>
      <c r="H315" s="3">
        <v>4</v>
      </c>
      <c r="I315" s="3"/>
      <c r="J315" s="3">
        <v>14</v>
      </c>
      <c r="K315" s="3"/>
      <c r="L315" s="3"/>
      <c r="M315" s="3">
        <v>50</v>
      </c>
      <c r="N315" s="3"/>
    </row>
    <row r="316" spans="2:14" ht="15.75" customHeight="1" x14ac:dyDescent="0.2">
      <c r="B316" s="10" t="s">
        <v>257</v>
      </c>
      <c r="C316" s="10" t="s">
        <v>259</v>
      </c>
      <c r="E316" s="6" t="s">
        <v>45</v>
      </c>
      <c r="F316" s="11">
        <v>0.55000000000000004</v>
      </c>
      <c r="G316" s="3">
        <v>14</v>
      </c>
      <c r="H316" s="3">
        <v>4.2</v>
      </c>
      <c r="I316" s="3"/>
      <c r="J316" s="3">
        <v>14</v>
      </c>
      <c r="K316" s="3"/>
      <c r="L316" s="3"/>
      <c r="M316" s="3">
        <v>50</v>
      </c>
      <c r="N316" s="3"/>
    </row>
    <row r="317" spans="2:14" ht="15.75" customHeight="1" x14ac:dyDescent="0.2">
      <c r="B317" s="10" t="s">
        <v>260</v>
      </c>
      <c r="E317" s="6" t="s">
        <v>45</v>
      </c>
      <c r="F317" s="11">
        <v>2.9</v>
      </c>
      <c r="G317" s="3">
        <v>38</v>
      </c>
      <c r="H317" s="3">
        <v>4.3</v>
      </c>
      <c r="I317" s="3"/>
      <c r="J317" s="3">
        <v>93</v>
      </c>
      <c r="K317" s="3"/>
      <c r="L317" s="3"/>
      <c r="M317" s="3">
        <v>55</v>
      </c>
      <c r="N317" s="3"/>
    </row>
    <row r="318" spans="2:14" ht="15.75" customHeight="1" x14ac:dyDescent="0.2">
      <c r="B318" s="10" t="s">
        <v>261</v>
      </c>
      <c r="E318" s="6" t="s">
        <v>45</v>
      </c>
      <c r="F318" s="11">
        <v>0.55000000000000004</v>
      </c>
      <c r="G318" s="3">
        <f>(30+33)/2</f>
        <v>31.5</v>
      </c>
      <c r="H318" s="3">
        <f>(4+4.5)/2</f>
        <v>4.25</v>
      </c>
      <c r="I318" s="11"/>
      <c r="J318" s="11">
        <v>7</v>
      </c>
      <c r="K318" s="11"/>
      <c r="L318" s="11"/>
      <c r="M318" s="11">
        <v>47</v>
      </c>
      <c r="N318" s="11"/>
    </row>
    <row r="319" spans="2:14" ht="15.75" customHeight="1" x14ac:dyDescent="0.2">
      <c r="B319" s="10" t="s">
        <v>262</v>
      </c>
      <c r="E319" s="6" t="s">
        <v>45</v>
      </c>
      <c r="F319" s="3">
        <f>(0.4+0.47)/2</f>
        <v>0.435</v>
      </c>
      <c r="G319" s="3">
        <f>(27+31)/2</f>
        <v>29</v>
      </c>
      <c r="H319" s="3">
        <f>(3.9+4.8)/2</f>
        <v>4.3499999999999996</v>
      </c>
      <c r="I319" s="3"/>
      <c r="J319" s="3">
        <f>(3+4.3)/2</f>
        <v>3.65</v>
      </c>
      <c r="K319" s="3"/>
      <c r="L319" s="3"/>
      <c r="M319" s="3">
        <f>(41+47)/2</f>
        <v>44</v>
      </c>
      <c r="N319" s="3"/>
    </row>
    <row r="320" spans="2:14" ht="15.75" customHeight="1" x14ac:dyDescent="0.2">
      <c r="B320" s="10" t="s">
        <v>262</v>
      </c>
      <c r="E320" s="6" t="s">
        <v>46</v>
      </c>
      <c r="F320" s="3">
        <v>0.45</v>
      </c>
      <c r="G320" s="3">
        <v>27</v>
      </c>
      <c r="H320" s="3">
        <v>4.5</v>
      </c>
      <c r="I320" s="3"/>
      <c r="J320" s="3">
        <f>(3+3.5)/2</f>
        <v>3.25</v>
      </c>
      <c r="K320" s="3"/>
      <c r="L320" s="3"/>
      <c r="M320" s="3"/>
      <c r="N320" s="3"/>
    </row>
    <row r="321" spans="2:14" ht="15.75" customHeight="1" x14ac:dyDescent="0.2">
      <c r="B321" s="10" t="s">
        <v>263</v>
      </c>
      <c r="E321" s="6" t="s">
        <v>45</v>
      </c>
      <c r="F321" s="3">
        <v>0.75</v>
      </c>
      <c r="G321" s="3">
        <v>17</v>
      </c>
      <c r="H321" s="3">
        <v>7.5</v>
      </c>
      <c r="I321" s="3"/>
      <c r="J321" s="3">
        <v>17</v>
      </c>
      <c r="K321" s="3"/>
      <c r="L321" s="3"/>
      <c r="M321" s="3">
        <v>49</v>
      </c>
      <c r="N321" s="3"/>
    </row>
    <row r="322" spans="2:14" ht="15.75" customHeight="1" x14ac:dyDescent="0.2">
      <c r="B322" s="10" t="s">
        <v>263</v>
      </c>
      <c r="E322" s="6" t="s">
        <v>46</v>
      </c>
      <c r="F322" s="3">
        <f>(0.76+1.05)/2</f>
        <v>0.90500000000000003</v>
      </c>
      <c r="G322" s="3">
        <f>(17+26)/2</f>
        <v>21.5</v>
      </c>
      <c r="H322" s="3">
        <f>(7+10)/2</f>
        <v>8.5</v>
      </c>
      <c r="I322" s="3"/>
      <c r="J322" s="3">
        <f>(19+33)/2</f>
        <v>26</v>
      </c>
      <c r="K322" s="3"/>
      <c r="L322" s="3"/>
      <c r="M322" s="3"/>
      <c r="N322" s="3"/>
    </row>
    <row r="323" spans="2:14" ht="15.75" customHeight="1" x14ac:dyDescent="0.2">
      <c r="B323" s="10" t="s">
        <v>264</v>
      </c>
      <c r="E323" s="6" t="s">
        <v>45</v>
      </c>
      <c r="F323" s="3">
        <f>(0.58+0.7)/2</f>
        <v>0.6399999999999999</v>
      </c>
      <c r="G323" s="3">
        <f>(20+27)/2</f>
        <v>23.5</v>
      </c>
      <c r="H323" s="3">
        <f>(4+6)/2</f>
        <v>5</v>
      </c>
      <c r="I323" s="3"/>
      <c r="J323" s="3">
        <f>(6.2+7.6)/2</f>
        <v>6.9</v>
      </c>
      <c r="K323" s="3"/>
      <c r="L323" s="3"/>
      <c r="M323" s="3">
        <f>(45+54)/2</f>
        <v>49.5</v>
      </c>
      <c r="N323" s="3"/>
    </row>
    <row r="324" spans="2:14" ht="15.75" customHeight="1" x14ac:dyDescent="0.2">
      <c r="B324" s="10" t="s">
        <v>264</v>
      </c>
      <c r="E324" s="6" t="s">
        <v>46</v>
      </c>
      <c r="F324" s="3">
        <f>(0.56+0.64)/2</f>
        <v>0.60000000000000009</v>
      </c>
      <c r="G324" s="3">
        <f>(25+28)/2</f>
        <v>26.5</v>
      </c>
      <c r="H324" s="3">
        <f>(5.4+5.8)/2</f>
        <v>5.6</v>
      </c>
      <c r="I324" s="3"/>
      <c r="J324" s="3">
        <f>(6.6+7.3)/2</f>
        <v>6.9499999999999993</v>
      </c>
      <c r="K324" s="3"/>
      <c r="L324" s="3"/>
      <c r="M324" s="3"/>
      <c r="N324" s="3"/>
    </row>
    <row r="325" spans="2:14" ht="15.75" customHeight="1" x14ac:dyDescent="0.2">
      <c r="B325" s="10" t="s">
        <v>265</v>
      </c>
      <c r="E325" s="6" t="s">
        <v>45</v>
      </c>
      <c r="F325" s="3">
        <f>(0.95+1.07)/2</f>
        <v>1.01</v>
      </c>
      <c r="G325" s="3">
        <f>(25+33)/2</f>
        <v>29</v>
      </c>
      <c r="H325" s="3">
        <f>(4.4+5)/2</f>
        <v>4.7</v>
      </c>
      <c r="I325" s="3"/>
      <c r="J325" s="3">
        <f>(6.8+7.1)/2</f>
        <v>6.9499999999999993</v>
      </c>
      <c r="K325" s="3"/>
      <c r="L325" s="3"/>
      <c r="M325" s="3">
        <f>(48+50)/2</f>
        <v>49</v>
      </c>
      <c r="N325" s="3"/>
    </row>
    <row r="326" spans="2:14" ht="15.75" customHeight="1" x14ac:dyDescent="0.2">
      <c r="B326" s="10" t="s">
        <v>266</v>
      </c>
      <c r="E326" s="6" t="s">
        <v>46</v>
      </c>
      <c r="F326" s="3">
        <v>1.52</v>
      </c>
      <c r="G326" s="3">
        <v>90</v>
      </c>
      <c r="H326" s="3">
        <v>7</v>
      </c>
      <c r="I326" s="3"/>
      <c r="J326" s="3">
        <v>32</v>
      </c>
      <c r="K326" s="11"/>
      <c r="L326" s="11"/>
      <c r="M326" s="11"/>
      <c r="N326" s="11"/>
    </row>
    <row r="327" spans="2:14" ht="15.75" customHeight="1" x14ac:dyDescent="0.2">
      <c r="B327" s="10" t="s">
        <v>267</v>
      </c>
      <c r="E327" s="6" t="s">
        <v>46</v>
      </c>
      <c r="F327" s="3">
        <v>0.92</v>
      </c>
      <c r="G327" s="3">
        <f>(48+60)/2</f>
        <v>54</v>
      </c>
      <c r="H327" s="3">
        <f>(5+5.2)/2</f>
        <v>5.0999999999999996</v>
      </c>
      <c r="I327" s="3"/>
      <c r="J327" s="3">
        <f>(13+14)/2</f>
        <v>13.5</v>
      </c>
      <c r="K327" s="11"/>
      <c r="L327" s="11"/>
      <c r="M327" s="11"/>
      <c r="N327" s="11"/>
    </row>
    <row r="328" spans="2:14" ht="15.75" customHeight="1" x14ac:dyDescent="0.2">
      <c r="B328" s="10" t="s">
        <v>268</v>
      </c>
      <c r="E328" s="6" t="s">
        <v>45</v>
      </c>
      <c r="F328" s="3">
        <f>(1.1+1.21)/2</f>
        <v>1.155</v>
      </c>
      <c r="G328" s="3">
        <f>(85+93)/2</f>
        <v>89</v>
      </c>
      <c r="H328" s="3">
        <f>(4.4+4.5)/2</f>
        <v>4.45</v>
      </c>
      <c r="I328" s="3"/>
      <c r="J328" s="3">
        <f>(20+22)/2</f>
        <v>21</v>
      </c>
      <c r="K328" s="3"/>
      <c r="L328" s="3"/>
      <c r="M328" s="3">
        <f>(63+66)/2</f>
        <v>64.5</v>
      </c>
      <c r="N328" s="3"/>
    </row>
    <row r="329" spans="2:14" ht="15.75" customHeight="1" x14ac:dyDescent="0.2">
      <c r="B329" s="10" t="s">
        <v>268</v>
      </c>
      <c r="E329" s="6" t="s">
        <v>46</v>
      </c>
      <c r="F329" s="3">
        <f>(0.97+1.11)/2</f>
        <v>1.04</v>
      </c>
      <c r="G329" s="3">
        <f>(72+80)/2</f>
        <v>76</v>
      </c>
      <c r="H329" s="3">
        <f>(4+4.8)/2</f>
        <v>4.4000000000000004</v>
      </c>
      <c r="I329" s="3"/>
      <c r="J329" s="3">
        <f>(19+21)/2</f>
        <v>20</v>
      </c>
      <c r="K329" s="3"/>
      <c r="L329" s="3"/>
      <c r="M329" s="3"/>
      <c r="N329" s="3"/>
    </row>
    <row r="330" spans="2:14" ht="15.75" customHeight="1" x14ac:dyDescent="0.2">
      <c r="B330" s="10" t="s">
        <v>269</v>
      </c>
      <c r="E330" s="6" t="s">
        <v>45</v>
      </c>
      <c r="F330" s="3">
        <v>1.3</v>
      </c>
      <c r="G330" s="3">
        <f t="shared" ref="G330:G331" si="8">(30+35)/2</f>
        <v>32.5</v>
      </c>
      <c r="H330" s="3">
        <f t="shared" ref="H330:H331" si="9">(7+9)/2</f>
        <v>8</v>
      </c>
      <c r="I330" s="3"/>
      <c r="J330" s="3">
        <f t="shared" ref="J330:J331" si="10">(10+12)/2</f>
        <v>11</v>
      </c>
      <c r="K330" s="3"/>
      <c r="L330" s="3"/>
      <c r="M330" s="3">
        <f>(63+66)/2</f>
        <v>64.5</v>
      </c>
      <c r="N330" s="3"/>
    </row>
    <row r="331" spans="2:14" ht="15.75" customHeight="1" x14ac:dyDescent="0.2">
      <c r="B331" s="10" t="s">
        <v>269</v>
      </c>
      <c r="E331" s="6" t="s">
        <v>46</v>
      </c>
      <c r="F331" s="3">
        <v>1</v>
      </c>
      <c r="G331" s="3">
        <f t="shared" si="8"/>
        <v>32.5</v>
      </c>
      <c r="H331" s="3">
        <f t="shared" si="9"/>
        <v>8</v>
      </c>
      <c r="I331" s="3"/>
      <c r="J331" s="3">
        <f t="shared" si="10"/>
        <v>11</v>
      </c>
      <c r="K331" s="3"/>
      <c r="L331" s="3"/>
      <c r="M331" s="3"/>
      <c r="N331" s="3"/>
    </row>
    <row r="332" spans="2:14" ht="15.75" customHeight="1" x14ac:dyDescent="0.2">
      <c r="B332" s="10" t="s">
        <v>270</v>
      </c>
      <c r="E332" s="6" t="s">
        <v>45</v>
      </c>
      <c r="F332" s="3">
        <f>(0.625+0.98)/2</f>
        <v>0.80249999999999999</v>
      </c>
      <c r="G332" s="3">
        <f>(19.6+23)/2</f>
        <v>21.3</v>
      </c>
      <c r="H332" s="3">
        <f>(7.5+9.5)/2</f>
        <v>8.5</v>
      </c>
      <c r="I332" s="3"/>
      <c r="J332" s="3">
        <f>(6.85+7.35)/2</f>
        <v>7.1</v>
      </c>
      <c r="K332" s="3"/>
      <c r="L332" s="3"/>
      <c r="M332" s="3">
        <f>(48+49.5)/2</f>
        <v>48.75</v>
      </c>
      <c r="N332" s="3"/>
    </row>
    <row r="333" spans="2:14" ht="15.75" customHeight="1" x14ac:dyDescent="0.2">
      <c r="B333" s="10" t="s">
        <v>270</v>
      </c>
      <c r="E333" s="6" t="s">
        <v>46</v>
      </c>
      <c r="F333" s="3">
        <f>(0.62+0.76)/2</f>
        <v>0.69</v>
      </c>
      <c r="G333" s="3">
        <f>(21.1+25.4)/2</f>
        <v>23.25</v>
      </c>
      <c r="H333" s="3">
        <f>(7.85+9.4)/2</f>
        <v>8.625</v>
      </c>
      <c r="I333" s="3"/>
      <c r="J333" s="3">
        <f>(6.3+6.95)/2</f>
        <v>6.625</v>
      </c>
      <c r="K333" s="3"/>
      <c r="L333" s="3"/>
      <c r="M333" s="3"/>
      <c r="N333" s="3"/>
    </row>
    <row r="334" spans="2:14" ht="15.75" customHeight="1" x14ac:dyDescent="0.2">
      <c r="B334" s="10" t="s">
        <v>271</v>
      </c>
      <c r="E334" s="6" t="s">
        <v>45</v>
      </c>
      <c r="F334" s="3">
        <v>1.07</v>
      </c>
      <c r="G334" s="3">
        <v>48</v>
      </c>
      <c r="H334" s="3">
        <v>4.4000000000000004</v>
      </c>
      <c r="I334" s="3"/>
      <c r="J334" s="3">
        <v>5.9</v>
      </c>
      <c r="K334" s="3"/>
      <c r="L334" s="3"/>
      <c r="M334" s="3">
        <v>46</v>
      </c>
      <c r="N334" s="3"/>
    </row>
    <row r="335" spans="2:14" ht="15.75" customHeight="1" x14ac:dyDescent="0.2">
      <c r="B335" s="10" t="s">
        <v>272</v>
      </c>
      <c r="E335" s="6" t="s">
        <v>45</v>
      </c>
      <c r="F335" s="3">
        <f>(0.51+0.53)/2</f>
        <v>0.52</v>
      </c>
      <c r="G335" s="3">
        <f>(26+27)/2</f>
        <v>26.5</v>
      </c>
      <c r="H335" s="3">
        <f>(4.1+4.3)/2</f>
        <v>4.1999999999999993</v>
      </c>
      <c r="I335" s="3"/>
      <c r="J335" s="3">
        <f>(4+6)/2</f>
        <v>5</v>
      </c>
      <c r="K335" s="3"/>
      <c r="L335" s="3"/>
      <c r="M335" s="3">
        <f>(52+56)/2</f>
        <v>54</v>
      </c>
      <c r="N335" s="3"/>
    </row>
    <row r="336" spans="2:14" ht="15.75" customHeight="1" x14ac:dyDescent="0.2">
      <c r="B336" s="10" t="s">
        <v>272</v>
      </c>
      <c r="E336" s="6" t="s">
        <v>46</v>
      </c>
      <c r="F336" s="3">
        <v>0.57999999999999996</v>
      </c>
      <c r="G336" s="3">
        <v>30</v>
      </c>
      <c r="H336" s="3">
        <v>4.3</v>
      </c>
      <c r="I336" s="3"/>
      <c r="J336" s="3">
        <v>10.5</v>
      </c>
      <c r="K336" s="3"/>
      <c r="L336" s="3"/>
      <c r="M336" s="3"/>
      <c r="N336" s="3"/>
    </row>
    <row r="337" spans="2:14" ht="15.75" customHeight="1" x14ac:dyDescent="0.2">
      <c r="B337" s="10" t="s">
        <v>273</v>
      </c>
      <c r="E337" s="6" t="s">
        <v>45</v>
      </c>
      <c r="F337" s="3">
        <f>(0.87+1.05)/2</f>
        <v>0.96</v>
      </c>
      <c r="G337" s="3">
        <f>(29+33)/2</f>
        <v>31</v>
      </c>
      <c r="H337" s="3">
        <f>(10+11.6)/2</f>
        <v>10.8</v>
      </c>
      <c r="I337" s="3"/>
      <c r="J337" s="3">
        <f>(5.1+5.8)/2</f>
        <v>5.4499999999999993</v>
      </c>
      <c r="K337" s="3"/>
      <c r="L337" s="3"/>
      <c r="M337" s="3">
        <f>(35.5+40)/2</f>
        <v>37.75</v>
      </c>
      <c r="N337" s="3"/>
    </row>
    <row r="338" spans="2:14" ht="15.75" customHeight="1" x14ac:dyDescent="0.2">
      <c r="B338" s="10" t="s">
        <v>273</v>
      </c>
      <c r="E338" s="6" t="s">
        <v>46</v>
      </c>
      <c r="F338" s="3">
        <f>(0.82+1.15)/2</f>
        <v>0.98499999999999988</v>
      </c>
      <c r="G338" s="3">
        <f>(30+33)/2</f>
        <v>31.5</v>
      </c>
      <c r="H338" s="3">
        <f>(9.6+11.5)/2</f>
        <v>10.55</v>
      </c>
      <c r="I338" s="3"/>
      <c r="J338" s="3">
        <f>(5.4+6)/2</f>
        <v>5.7</v>
      </c>
      <c r="K338" s="3"/>
      <c r="L338" s="3"/>
      <c r="M338" s="3"/>
      <c r="N338" s="3"/>
    </row>
    <row r="339" spans="2:14" ht="15.75" customHeight="1" x14ac:dyDescent="0.2">
      <c r="B339" s="10" t="s">
        <v>274</v>
      </c>
      <c r="E339" s="6" t="s">
        <v>45</v>
      </c>
      <c r="F339" s="3">
        <v>3.9</v>
      </c>
      <c r="G339" s="3">
        <v>59</v>
      </c>
      <c r="H339" s="3">
        <v>15.4</v>
      </c>
      <c r="I339" s="3"/>
      <c r="J339" s="3">
        <v>100</v>
      </c>
      <c r="K339" s="3"/>
      <c r="L339" s="3"/>
      <c r="M339" s="3">
        <v>53</v>
      </c>
      <c r="N339" s="3"/>
    </row>
    <row r="340" spans="2:14" ht="15.75" customHeight="1" x14ac:dyDescent="0.2">
      <c r="B340" s="10" t="s">
        <v>274</v>
      </c>
      <c r="E340" s="6" t="s">
        <v>46</v>
      </c>
      <c r="F340" s="3">
        <v>3.8</v>
      </c>
      <c r="G340" s="3">
        <v>62</v>
      </c>
      <c r="H340" s="3">
        <v>14.8</v>
      </c>
      <c r="I340" s="3"/>
      <c r="J340" s="3">
        <v>70</v>
      </c>
      <c r="K340" s="3"/>
      <c r="L340" s="3"/>
      <c r="M340" s="3"/>
      <c r="N340" s="3"/>
    </row>
    <row r="341" spans="2:14" ht="15.75" customHeight="1" x14ac:dyDescent="0.2">
      <c r="B341" s="10" t="s">
        <v>275</v>
      </c>
      <c r="E341" s="6" t="s">
        <v>46</v>
      </c>
      <c r="F341" s="3">
        <v>1.6</v>
      </c>
      <c r="G341" s="3">
        <v>41.7</v>
      </c>
      <c r="H341" s="3">
        <v>3.3</v>
      </c>
      <c r="I341" s="3"/>
      <c r="J341" s="3">
        <v>50</v>
      </c>
      <c r="K341" s="3"/>
      <c r="L341" s="3"/>
      <c r="M341" s="3"/>
      <c r="N341" s="3"/>
    </row>
    <row r="342" spans="2:14" ht="15.75" customHeight="1" x14ac:dyDescent="0.2">
      <c r="B342" s="10" t="s">
        <v>276</v>
      </c>
      <c r="C342" s="10" t="s">
        <v>277</v>
      </c>
      <c r="E342" s="6" t="s">
        <v>45</v>
      </c>
      <c r="F342" s="3">
        <f>(0.31+0.51)/2</f>
        <v>0.41000000000000003</v>
      </c>
      <c r="G342" s="3">
        <f>(32+36)/2</f>
        <v>34</v>
      </c>
      <c r="H342" s="3">
        <f>(4+6)/2</f>
        <v>5</v>
      </c>
      <c r="I342" s="3"/>
      <c r="J342" s="3">
        <f>(3.6+3.9)/2</f>
        <v>3.75</v>
      </c>
      <c r="K342" s="3"/>
      <c r="L342" s="3"/>
      <c r="M342" s="3">
        <v>42</v>
      </c>
      <c r="N342" s="3"/>
    </row>
    <row r="343" spans="2:14" ht="15.75" customHeight="1" x14ac:dyDescent="0.2">
      <c r="B343" s="10" t="s">
        <v>276</v>
      </c>
      <c r="C343" s="10" t="s">
        <v>277</v>
      </c>
      <c r="E343" s="6" t="s">
        <v>46</v>
      </c>
      <c r="F343" s="3">
        <f>(0.31+0.38)/2</f>
        <v>0.34499999999999997</v>
      </c>
      <c r="G343" s="3">
        <f>(25+31)/2</f>
        <v>28</v>
      </c>
      <c r="H343" s="3">
        <f>(4+5.5)/2</f>
        <v>4.75</v>
      </c>
      <c r="I343" s="3"/>
      <c r="J343" s="3">
        <f>(3+3.6)/2</f>
        <v>3.3</v>
      </c>
      <c r="K343" s="3"/>
      <c r="L343" s="3"/>
      <c r="M343" s="3"/>
      <c r="N343" s="3"/>
    </row>
    <row r="344" spans="2:14" ht="15.75" customHeight="1" x14ac:dyDescent="0.2">
      <c r="B344" s="10" t="s">
        <v>278</v>
      </c>
      <c r="E344" s="6" t="s">
        <v>45</v>
      </c>
      <c r="F344" s="3">
        <f>(0.26+0.27)/2</f>
        <v>0.26500000000000001</v>
      </c>
      <c r="G344" s="3">
        <f>(5+5.1)/2</f>
        <v>5.05</v>
      </c>
      <c r="H344" s="3"/>
      <c r="I344" s="3"/>
      <c r="J344" s="3">
        <f>(3+3.7)/2</f>
        <v>3.35</v>
      </c>
      <c r="K344" s="3"/>
      <c r="L344" s="3"/>
      <c r="M344" s="3"/>
      <c r="N344" s="3"/>
    </row>
    <row r="345" spans="2:14" ht="15.75" customHeight="1" x14ac:dyDescent="0.2">
      <c r="B345" s="10" t="s">
        <v>278</v>
      </c>
      <c r="E345" s="6" t="s">
        <v>46</v>
      </c>
      <c r="F345" s="3">
        <f>(0.2+0.25)/2</f>
        <v>0.22500000000000001</v>
      </c>
      <c r="G345" s="3">
        <f>(4.7+5.2)/2</f>
        <v>4.95</v>
      </c>
      <c r="H345" s="3"/>
      <c r="I345" s="3"/>
      <c r="J345" s="3">
        <f>(2.9+4)/2</f>
        <v>3.45</v>
      </c>
      <c r="K345" s="3"/>
      <c r="L345" s="3"/>
      <c r="M345" s="3"/>
      <c r="N345" s="3"/>
    </row>
    <row r="346" spans="2:14" ht="15.75" customHeight="1" x14ac:dyDescent="0.2">
      <c r="B346" s="10" t="s">
        <v>279</v>
      </c>
      <c r="C346" s="10" t="s">
        <v>280</v>
      </c>
      <c r="E346" s="6" t="s">
        <v>45</v>
      </c>
      <c r="F346" s="3">
        <f>(0.88+0.93)/2</f>
        <v>0.90500000000000003</v>
      </c>
      <c r="G346" s="3">
        <f>(22+25)/2</f>
        <v>23.5</v>
      </c>
      <c r="H346" s="3">
        <f>(4.7+5.5)/2</f>
        <v>5.0999999999999996</v>
      </c>
      <c r="I346" s="3"/>
      <c r="J346" s="3">
        <f>(4.7+5.5)/2</f>
        <v>5.0999999999999996</v>
      </c>
      <c r="K346" s="3"/>
      <c r="L346" s="3"/>
      <c r="M346" s="3">
        <f>(60+64.5)/2</f>
        <v>62.25</v>
      </c>
      <c r="N346" s="3"/>
    </row>
    <row r="347" spans="2:14" ht="15.75" customHeight="1" x14ac:dyDescent="0.2">
      <c r="B347" s="10" t="s">
        <v>281</v>
      </c>
      <c r="C347" s="10" t="s">
        <v>282</v>
      </c>
      <c r="E347" s="6" t="s">
        <v>45</v>
      </c>
      <c r="F347" s="3">
        <f>(0.4+0.6)/2</f>
        <v>0.5</v>
      </c>
      <c r="G347" s="3">
        <f>(31+38)/2</f>
        <v>34.5</v>
      </c>
      <c r="H347" s="3">
        <f>(5.7+6.6)/2</f>
        <v>6.15</v>
      </c>
      <c r="I347" s="3"/>
      <c r="J347" s="3">
        <f>(3.3+4.2)/2</f>
        <v>3.75</v>
      </c>
      <c r="K347" s="3"/>
      <c r="L347" s="3"/>
      <c r="M347" s="3">
        <v>50</v>
      </c>
      <c r="N347" s="3"/>
    </row>
    <row r="348" spans="2:14" ht="15.75" customHeight="1" x14ac:dyDescent="0.2">
      <c r="B348" s="10" t="s">
        <v>283</v>
      </c>
      <c r="E348" s="6" t="s">
        <v>45</v>
      </c>
      <c r="F348" s="3">
        <f>(1.73+1.85)/2</f>
        <v>1.79</v>
      </c>
      <c r="G348" s="3">
        <f>(39+46)/2</f>
        <v>42.5</v>
      </c>
      <c r="H348" s="3">
        <f>(4.8+5.5)/2</f>
        <v>5.15</v>
      </c>
      <c r="I348" s="3"/>
      <c r="J348" s="3">
        <f>(2.7+3.1)/2</f>
        <v>2.9000000000000004</v>
      </c>
      <c r="K348" s="3"/>
      <c r="L348" s="3"/>
      <c r="M348" s="3">
        <f>(40+42)/2</f>
        <v>41</v>
      </c>
      <c r="N348" s="3"/>
    </row>
    <row r="349" spans="2:14" ht="15.75" customHeight="1" x14ac:dyDescent="0.2">
      <c r="B349" s="10" t="s">
        <v>284</v>
      </c>
      <c r="E349" s="6" t="s">
        <v>45</v>
      </c>
      <c r="F349" s="3">
        <f>(1.12+1.19)/2</f>
        <v>1.155</v>
      </c>
      <c r="G349" s="3">
        <f>(45+50)/2</f>
        <v>47.5</v>
      </c>
      <c r="H349" s="3">
        <f>(7.4+7.6)/2</f>
        <v>7.5</v>
      </c>
      <c r="I349" s="3"/>
      <c r="J349" s="3">
        <f>(3.5+3.8)/2</f>
        <v>3.65</v>
      </c>
      <c r="K349" s="3"/>
      <c r="L349" s="3"/>
      <c r="M349" s="3">
        <f>(48.4+50)/2</f>
        <v>49.2</v>
      </c>
      <c r="N349" s="3"/>
    </row>
    <row r="350" spans="2:14" ht="15.75" customHeight="1" x14ac:dyDescent="0.2">
      <c r="B350" s="10" t="s">
        <v>284</v>
      </c>
      <c r="E350" s="6" t="s">
        <v>46</v>
      </c>
      <c r="F350" s="3">
        <f>(0.78+0.94)/2</f>
        <v>0.86</v>
      </c>
      <c r="G350" s="3">
        <f>(46+52)/2</f>
        <v>49</v>
      </c>
      <c r="H350" s="3">
        <f>(6+7.7)/2</f>
        <v>6.85</v>
      </c>
      <c r="I350" s="3"/>
      <c r="J350" s="3">
        <f>(4.2+5.6)/2</f>
        <v>4.9000000000000004</v>
      </c>
      <c r="K350" s="3"/>
      <c r="L350" s="3"/>
      <c r="M350" s="3"/>
      <c r="N350" s="3"/>
    </row>
    <row r="351" spans="2:14" ht="15.75" customHeight="1" x14ac:dyDescent="0.2">
      <c r="B351" s="10" t="s">
        <v>285</v>
      </c>
      <c r="C351" s="10" t="s">
        <v>286</v>
      </c>
      <c r="E351" s="6" t="s">
        <v>45</v>
      </c>
      <c r="F351" s="3">
        <v>0.68</v>
      </c>
      <c r="G351" s="3">
        <v>30</v>
      </c>
      <c r="H351" s="3">
        <v>5.6</v>
      </c>
      <c r="I351" s="3"/>
      <c r="J351" s="3">
        <v>9.6999999999999993</v>
      </c>
      <c r="K351" s="3"/>
      <c r="L351" s="3"/>
      <c r="M351" s="3">
        <v>65</v>
      </c>
      <c r="N351" s="3"/>
    </row>
    <row r="352" spans="2:14" ht="15.75" customHeight="1" x14ac:dyDescent="0.2">
      <c r="B352" s="10" t="s">
        <v>285</v>
      </c>
      <c r="C352" s="10" t="s">
        <v>286</v>
      </c>
      <c r="E352" s="6" t="s">
        <v>46</v>
      </c>
      <c r="F352" s="3">
        <f>(0.72+0.73)/2</f>
        <v>0.72499999999999998</v>
      </c>
      <c r="G352" s="3">
        <f>(43+44)/2</f>
        <v>43.5</v>
      </c>
      <c r="H352" s="3">
        <f>(5.2+5.4)/2</f>
        <v>5.3000000000000007</v>
      </c>
      <c r="I352" s="3"/>
      <c r="J352" s="3">
        <f>(9.8+10.4)/2</f>
        <v>10.100000000000001</v>
      </c>
      <c r="K352" s="3"/>
      <c r="L352" s="3"/>
      <c r="M352" s="3"/>
      <c r="N352" s="3"/>
    </row>
    <row r="353" spans="2:14" ht="15.75" customHeight="1" x14ac:dyDescent="0.2">
      <c r="B353" s="10" t="s">
        <v>287</v>
      </c>
      <c r="E353" s="6" t="s">
        <v>45</v>
      </c>
      <c r="F353" s="3">
        <v>1.02</v>
      </c>
      <c r="G353" s="3">
        <v>35</v>
      </c>
      <c r="H353" s="3">
        <v>5.5</v>
      </c>
      <c r="I353" s="3"/>
      <c r="J353" s="3">
        <v>4.8</v>
      </c>
      <c r="K353" s="3"/>
      <c r="L353" s="3"/>
      <c r="M353" s="3">
        <v>61</v>
      </c>
      <c r="N353" s="3"/>
    </row>
    <row r="354" spans="2:14" ht="15.75" customHeight="1" x14ac:dyDescent="0.2">
      <c r="B354" s="10" t="s">
        <v>287</v>
      </c>
      <c r="E354" s="6" t="s">
        <v>46</v>
      </c>
      <c r="F354" s="3">
        <v>1.1299999999999999</v>
      </c>
      <c r="G354" s="3">
        <v>44</v>
      </c>
      <c r="H354" s="3">
        <v>5.4</v>
      </c>
      <c r="I354" s="3"/>
      <c r="J354" s="3">
        <v>6.1</v>
      </c>
      <c r="K354" s="3"/>
      <c r="L354" s="3"/>
      <c r="M354" s="3"/>
      <c r="N354" s="3"/>
    </row>
    <row r="355" spans="2:14" ht="15.75" customHeight="1" x14ac:dyDescent="0.2">
      <c r="B355" s="10" t="s">
        <v>288</v>
      </c>
      <c r="E355" s="6" t="s">
        <v>45</v>
      </c>
      <c r="F355" s="3">
        <v>1.7</v>
      </c>
      <c r="G355" s="3">
        <f t="shared" ref="G355:G356" si="11">(30+35)/2</f>
        <v>32.5</v>
      </c>
      <c r="H355" s="3">
        <v>11</v>
      </c>
      <c r="I355" s="3"/>
      <c r="J355" s="3">
        <v>11</v>
      </c>
      <c r="K355" s="3"/>
      <c r="L355" s="3"/>
      <c r="M355" s="3">
        <v>54</v>
      </c>
      <c r="N355" s="3"/>
    </row>
    <row r="356" spans="2:14" ht="15.75" customHeight="1" x14ac:dyDescent="0.2">
      <c r="B356" s="10" t="s">
        <v>288</v>
      </c>
      <c r="E356" s="6" t="s">
        <v>46</v>
      </c>
      <c r="F356" s="3">
        <v>1.8</v>
      </c>
      <c r="G356" s="3">
        <f t="shared" si="11"/>
        <v>32.5</v>
      </c>
      <c r="H356" s="3">
        <v>11</v>
      </c>
      <c r="I356" s="3"/>
      <c r="J356" s="3">
        <v>11</v>
      </c>
      <c r="K356" s="3"/>
      <c r="L356" s="3"/>
      <c r="M356" s="3"/>
      <c r="N356" s="3"/>
    </row>
    <row r="357" spans="2:14" ht="15.75" customHeight="1" x14ac:dyDescent="0.2">
      <c r="B357" s="10" t="s">
        <v>289</v>
      </c>
      <c r="E357" s="6" t="s">
        <v>45</v>
      </c>
      <c r="F357" s="3">
        <v>1.5</v>
      </c>
      <c r="G357" s="3">
        <v>30</v>
      </c>
      <c r="H357" s="3">
        <v>5</v>
      </c>
      <c r="I357" s="3"/>
      <c r="J357" s="3">
        <f t="shared" ref="J357:J358" si="12">(8+9)/2</f>
        <v>8.5</v>
      </c>
      <c r="K357" s="3"/>
      <c r="L357" s="3"/>
      <c r="M357" s="3">
        <v>65</v>
      </c>
      <c r="N357" s="3"/>
    </row>
    <row r="358" spans="2:14" ht="15.75" customHeight="1" x14ac:dyDescent="0.2">
      <c r="B358" s="10" t="s">
        <v>289</v>
      </c>
      <c r="E358" s="6" t="s">
        <v>46</v>
      </c>
      <c r="F358" s="3">
        <v>1.4</v>
      </c>
      <c r="G358" s="3">
        <v>30</v>
      </c>
      <c r="H358" s="3">
        <v>5</v>
      </c>
      <c r="I358" s="3"/>
      <c r="J358" s="3">
        <f t="shared" si="12"/>
        <v>8.5</v>
      </c>
      <c r="K358" s="3"/>
      <c r="L358" s="3"/>
      <c r="M358" s="3"/>
      <c r="N358" s="3"/>
    </row>
    <row r="359" spans="2:14" ht="15.75" customHeight="1" x14ac:dyDescent="0.2">
      <c r="B359" s="10" t="s">
        <v>290</v>
      </c>
      <c r="C359" s="10" t="s">
        <v>291</v>
      </c>
      <c r="E359" s="6" t="s">
        <v>45</v>
      </c>
      <c r="F359" s="3">
        <v>0.93</v>
      </c>
      <c r="G359" s="3">
        <f>(23+24.5)/2</f>
        <v>23.75</v>
      </c>
      <c r="H359" s="3">
        <f>(7.2+8.4)/2</f>
        <v>7.8000000000000007</v>
      </c>
      <c r="I359" s="3"/>
      <c r="J359" s="3">
        <f>(6+9)/2</f>
        <v>7.5</v>
      </c>
      <c r="K359" s="3"/>
      <c r="L359" s="3"/>
      <c r="M359" s="3">
        <f>(40+41)/2</f>
        <v>40.5</v>
      </c>
      <c r="N359" s="3"/>
    </row>
    <row r="360" spans="2:14" ht="15.75" customHeight="1" x14ac:dyDescent="0.2">
      <c r="B360" s="10" t="s">
        <v>290</v>
      </c>
      <c r="C360" s="10" t="s">
        <v>291</v>
      </c>
      <c r="E360" s="6" t="s">
        <v>46</v>
      </c>
      <c r="F360" s="3">
        <f>(0.86+0.98)/2</f>
        <v>0.91999999999999993</v>
      </c>
      <c r="G360" s="3">
        <f>(24+34)/2</f>
        <v>29</v>
      </c>
      <c r="H360" s="3">
        <f>(6.9+8.2)/2</f>
        <v>7.55</v>
      </c>
      <c r="I360" s="3"/>
      <c r="J360" s="3">
        <f>(6.8+7.8)/2</f>
        <v>7.3</v>
      </c>
      <c r="K360" s="3"/>
      <c r="L360" s="3"/>
      <c r="M360" s="3"/>
      <c r="N360" s="3"/>
    </row>
    <row r="361" spans="2:14" ht="15.75" customHeight="1" x14ac:dyDescent="0.2">
      <c r="B361" s="10" t="s">
        <v>292</v>
      </c>
      <c r="E361" s="6" t="s">
        <v>45</v>
      </c>
      <c r="F361" s="3">
        <f>(0.72+1.04)/2</f>
        <v>0.88</v>
      </c>
      <c r="G361" s="3">
        <f>(19+28)/2</f>
        <v>23.5</v>
      </c>
      <c r="H361" s="3">
        <f>(6+8.2)/2</f>
        <v>7.1</v>
      </c>
      <c r="I361" s="3"/>
      <c r="J361" s="3">
        <f>(6.6+7.7)/2</f>
        <v>7.15</v>
      </c>
      <c r="K361" s="3"/>
      <c r="L361" s="3"/>
      <c r="M361" s="3">
        <f>(46.5+50)/2</f>
        <v>48.25</v>
      </c>
      <c r="N361" s="3"/>
    </row>
    <row r="362" spans="2:14" ht="15.75" customHeight="1" x14ac:dyDescent="0.2">
      <c r="B362" s="10" t="s">
        <v>292</v>
      </c>
      <c r="E362" s="6" t="s">
        <v>46</v>
      </c>
      <c r="F362" s="3">
        <f>(0.58+0.84)/2</f>
        <v>0.71</v>
      </c>
      <c r="G362" s="3">
        <f>(19+24)/2</f>
        <v>21.5</v>
      </c>
      <c r="H362" s="3">
        <f>(5.6+7.1)/2</f>
        <v>6.35</v>
      </c>
      <c r="I362" s="3"/>
      <c r="J362" s="3">
        <f>(5.8+9.1)/2</f>
        <v>7.4499999999999993</v>
      </c>
      <c r="K362" s="3"/>
      <c r="L362" s="3"/>
      <c r="M362" s="3"/>
      <c r="N362" s="3"/>
    </row>
    <row r="363" spans="2:14" ht="15.75" customHeight="1" x14ac:dyDescent="0.2">
      <c r="B363" s="10" t="s">
        <v>293</v>
      </c>
      <c r="C363" s="10" t="s">
        <v>294</v>
      </c>
      <c r="E363" s="6" t="s">
        <v>45</v>
      </c>
      <c r="F363" s="3">
        <v>1</v>
      </c>
      <c r="G363" s="3">
        <v>20</v>
      </c>
      <c r="H363" s="3">
        <f t="shared" ref="H363:H364" si="13">(6+7)/2</f>
        <v>6.5</v>
      </c>
      <c r="I363" s="3"/>
      <c r="J363" s="3">
        <f>(7+8)/2</f>
        <v>7.5</v>
      </c>
      <c r="K363" s="3"/>
      <c r="L363" s="3"/>
      <c r="M363" s="3">
        <v>50</v>
      </c>
      <c r="N363" s="3"/>
    </row>
    <row r="364" spans="2:14" ht="15.75" customHeight="1" x14ac:dyDescent="0.2">
      <c r="B364" s="10" t="s">
        <v>293</v>
      </c>
      <c r="C364" s="10" t="s">
        <v>294</v>
      </c>
      <c r="E364" s="6" t="s">
        <v>46</v>
      </c>
      <c r="F364" s="3">
        <v>0.9</v>
      </c>
      <c r="G364" s="3">
        <v>20</v>
      </c>
      <c r="H364" s="3">
        <f t="shared" si="13"/>
        <v>6.5</v>
      </c>
      <c r="I364" s="3"/>
      <c r="J364" s="3">
        <f>(8+9)/2</f>
        <v>8.5</v>
      </c>
      <c r="K364" s="3"/>
      <c r="L364" s="3"/>
      <c r="M364" s="3"/>
      <c r="N364" s="3"/>
    </row>
    <row r="365" spans="2:14" ht="15.75" customHeight="1" x14ac:dyDescent="0.2">
      <c r="B365" s="10" t="s">
        <v>295</v>
      </c>
      <c r="C365" s="10" t="s">
        <v>296</v>
      </c>
      <c r="E365" s="6" t="s">
        <v>45</v>
      </c>
      <c r="F365" s="3">
        <v>0.74</v>
      </c>
      <c r="G365" s="3">
        <f t="shared" ref="G365:G366" si="14">(22+25)/2</f>
        <v>23.5</v>
      </c>
      <c r="H365" s="3">
        <f t="shared" ref="H365:H366" si="15">(6+6.5)/2</f>
        <v>6.25</v>
      </c>
      <c r="I365" s="3"/>
      <c r="J365" s="3">
        <f>(7.5+8.5)/2</f>
        <v>8</v>
      </c>
      <c r="K365" s="3"/>
      <c r="L365" s="3"/>
      <c r="M365" s="3"/>
      <c r="N365" s="3"/>
    </row>
    <row r="366" spans="2:14" ht="15.75" customHeight="1" x14ac:dyDescent="0.2">
      <c r="B366" s="10" t="s">
        <v>295</v>
      </c>
      <c r="C366" s="10" t="s">
        <v>296</v>
      </c>
      <c r="E366" s="6" t="s">
        <v>46</v>
      </c>
      <c r="F366" s="3">
        <v>0.74</v>
      </c>
      <c r="G366" s="3">
        <f t="shared" si="14"/>
        <v>23.5</v>
      </c>
      <c r="H366" s="3">
        <f t="shared" si="15"/>
        <v>6.25</v>
      </c>
      <c r="I366" s="3"/>
      <c r="J366" s="3">
        <f>(8.5+9)/2</f>
        <v>8.75</v>
      </c>
      <c r="K366" s="3"/>
      <c r="L366" s="3"/>
      <c r="M366" s="3"/>
      <c r="N366" s="3"/>
    </row>
    <row r="367" spans="2:14" ht="15.75" customHeight="1" x14ac:dyDescent="0.2">
      <c r="B367" s="10" t="s">
        <v>297</v>
      </c>
      <c r="E367" s="6" t="s">
        <v>45</v>
      </c>
      <c r="F367" s="3">
        <v>1</v>
      </c>
      <c r="G367" s="3">
        <f>(22+24)/2</f>
        <v>23</v>
      </c>
      <c r="H367" s="3">
        <f t="shared" ref="H367:H368" si="16">(6+6.3)/2</f>
        <v>6.15</v>
      </c>
      <c r="I367" s="3"/>
      <c r="J367" s="3">
        <f t="shared" ref="J367:J368" si="17">(7+7.5)/2</f>
        <v>7.25</v>
      </c>
      <c r="K367" s="3"/>
      <c r="L367" s="3"/>
      <c r="M367" s="3"/>
      <c r="N367" s="3"/>
    </row>
    <row r="368" spans="2:14" ht="15.75" customHeight="1" x14ac:dyDescent="0.2">
      <c r="B368" s="10" t="s">
        <v>297</v>
      </c>
      <c r="E368" s="6" t="s">
        <v>46</v>
      </c>
      <c r="F368" s="3">
        <v>0.9</v>
      </c>
      <c r="G368" s="3">
        <v>25</v>
      </c>
      <c r="H368" s="3">
        <f t="shared" si="16"/>
        <v>6.15</v>
      </c>
      <c r="I368" s="3"/>
      <c r="J368" s="3">
        <f t="shared" si="17"/>
        <v>7.25</v>
      </c>
      <c r="K368" s="3"/>
      <c r="L368" s="3"/>
      <c r="M368" s="3"/>
      <c r="N368" s="3"/>
    </row>
    <row r="369" spans="2:14" ht="15.75" customHeight="1" x14ac:dyDescent="0.2">
      <c r="B369" s="10" t="s">
        <v>297</v>
      </c>
      <c r="E369" s="6" t="s">
        <v>45</v>
      </c>
      <c r="F369" s="3">
        <f>(0.63+0.84)/2</f>
        <v>0.73499999999999999</v>
      </c>
      <c r="G369" s="3">
        <f>(19+23)/2</f>
        <v>21</v>
      </c>
      <c r="H369" s="3">
        <f>(5.6+6.2)/2</f>
        <v>5.9</v>
      </c>
      <c r="I369" s="3"/>
      <c r="J369" s="3">
        <f>(6.2+7.2)/2</f>
        <v>6.7</v>
      </c>
      <c r="K369" s="11"/>
      <c r="L369" s="11"/>
      <c r="M369" s="11"/>
      <c r="N369" s="11"/>
    </row>
    <row r="370" spans="2:14" ht="15.75" customHeight="1" x14ac:dyDescent="0.2">
      <c r="B370" s="10" t="s">
        <v>297</v>
      </c>
      <c r="E370" s="6" t="s">
        <v>46</v>
      </c>
      <c r="F370" s="3">
        <f>(0.58+0.77)/2</f>
        <v>0.67500000000000004</v>
      </c>
      <c r="G370" s="3">
        <f>(19+28)/2</f>
        <v>23.5</v>
      </c>
      <c r="H370" s="3">
        <f>(5.6+8)/2</f>
        <v>6.8</v>
      </c>
      <c r="I370" s="3"/>
      <c r="J370" s="3">
        <f>(6+7.1)/2</f>
        <v>6.55</v>
      </c>
      <c r="K370" s="11"/>
      <c r="L370" s="11"/>
      <c r="M370" s="11"/>
      <c r="N370" s="11"/>
    </row>
    <row r="371" spans="2:14" ht="15.75" customHeight="1" x14ac:dyDescent="0.2">
      <c r="B371" s="10" t="s">
        <v>298</v>
      </c>
      <c r="E371" s="6" t="s">
        <v>45</v>
      </c>
      <c r="F371" s="3">
        <f>(0.86+1.1)/2</f>
        <v>0.98</v>
      </c>
      <c r="G371" s="3">
        <f>(23+32)/2</f>
        <v>27.5</v>
      </c>
      <c r="H371" s="3">
        <f>(7.1+8.7)/2</f>
        <v>7.8999999999999995</v>
      </c>
      <c r="I371" s="3"/>
      <c r="J371" s="3">
        <f>(6.1+8)/2</f>
        <v>7.05</v>
      </c>
      <c r="K371" s="3"/>
      <c r="L371" s="3"/>
      <c r="M371" s="3">
        <f>(45+52)/2</f>
        <v>48.5</v>
      </c>
      <c r="N371" s="3"/>
    </row>
    <row r="372" spans="2:14" ht="15.75" customHeight="1" x14ac:dyDescent="0.2">
      <c r="B372" s="10" t="s">
        <v>298</v>
      </c>
      <c r="E372" s="6" t="s">
        <v>46</v>
      </c>
      <c r="F372" s="3">
        <f>(0.87+1.08)/2</f>
        <v>0.97500000000000009</v>
      </c>
      <c r="G372" s="3">
        <f>(25+35)/2</f>
        <v>30</v>
      </c>
      <c r="H372" s="3">
        <f>(7.5+8.9)/2</f>
        <v>8.1999999999999993</v>
      </c>
      <c r="I372" s="3"/>
      <c r="J372" s="3">
        <f>(7+8)/2</f>
        <v>7.5</v>
      </c>
      <c r="K372" s="3"/>
      <c r="L372" s="3"/>
      <c r="M372" s="3"/>
      <c r="N372" s="3"/>
    </row>
    <row r="373" spans="2:14" ht="15.75" customHeight="1" x14ac:dyDescent="0.2">
      <c r="B373" s="10" t="s">
        <v>299</v>
      </c>
      <c r="E373" s="6" t="s">
        <v>45</v>
      </c>
      <c r="F373" s="3">
        <v>1.3</v>
      </c>
      <c r="G373" s="3">
        <f t="shared" ref="G373:G374" si="18">(30+35)/2</f>
        <v>32.5</v>
      </c>
      <c r="H373" s="3">
        <f t="shared" ref="H373:H374" si="19">(7+8)/2</f>
        <v>7.5</v>
      </c>
      <c r="I373" s="3"/>
      <c r="J373" s="3">
        <f>(10+12)/2</f>
        <v>11</v>
      </c>
      <c r="K373" s="3"/>
      <c r="L373" s="3"/>
      <c r="M373" s="3">
        <v>50</v>
      </c>
      <c r="N373" s="3"/>
    </row>
    <row r="374" spans="2:14" ht="15.75" customHeight="1" x14ac:dyDescent="0.2">
      <c r="B374" s="10" t="s">
        <v>299</v>
      </c>
      <c r="E374" s="6" t="s">
        <v>46</v>
      </c>
      <c r="F374" s="3">
        <v>1.3</v>
      </c>
      <c r="G374" s="3">
        <f t="shared" si="18"/>
        <v>32.5</v>
      </c>
      <c r="H374" s="3">
        <f t="shared" si="19"/>
        <v>7.5</v>
      </c>
      <c r="I374" s="3"/>
      <c r="J374" s="3">
        <f>(9+10)/2</f>
        <v>9.5</v>
      </c>
      <c r="K374" s="3"/>
      <c r="L374" s="3"/>
      <c r="M374" s="3"/>
      <c r="N374" s="3"/>
    </row>
    <row r="375" spans="2:14" ht="15.75" customHeight="1" x14ac:dyDescent="0.2">
      <c r="B375" s="10" t="s">
        <v>300</v>
      </c>
      <c r="E375" s="6" t="s">
        <v>45</v>
      </c>
      <c r="F375" s="3">
        <f>(0.36+0.62)/2</f>
        <v>0.49</v>
      </c>
      <c r="G375" s="3">
        <f>(20+29)/2</f>
        <v>24.5</v>
      </c>
      <c r="H375" s="3">
        <f>(5.4+5.9)/2</f>
        <v>5.65</v>
      </c>
      <c r="I375" s="3"/>
      <c r="J375" s="3">
        <f>(5.9+7.4)/2</f>
        <v>6.65</v>
      </c>
      <c r="K375" s="3"/>
      <c r="L375" s="3"/>
      <c r="M375" s="3">
        <f>(43+50)/2</f>
        <v>46.5</v>
      </c>
      <c r="N375" s="3"/>
    </row>
    <row r="376" spans="2:14" ht="15.75" customHeight="1" x14ac:dyDescent="0.2">
      <c r="B376" s="10" t="s">
        <v>301</v>
      </c>
      <c r="E376" s="6" t="s">
        <v>45</v>
      </c>
      <c r="F376" s="3">
        <f>(0.39+1.12)/2</f>
        <v>0.75500000000000012</v>
      </c>
      <c r="G376" s="3">
        <f>(13+30)/2</f>
        <v>21.5</v>
      </c>
      <c r="H376" s="3">
        <f>(4.9+8.2)/2</f>
        <v>6.55</v>
      </c>
      <c r="I376" s="3"/>
      <c r="J376" s="3">
        <f>(6.1+12)/2</f>
        <v>9.0500000000000007</v>
      </c>
      <c r="K376" s="3"/>
      <c r="L376" s="3"/>
      <c r="M376" s="3">
        <f>(44+66)/2</f>
        <v>55</v>
      </c>
      <c r="N376" s="3"/>
    </row>
    <row r="377" spans="2:14" ht="15.75" customHeight="1" x14ac:dyDescent="0.2">
      <c r="B377" s="10" t="s">
        <v>301</v>
      </c>
      <c r="E377" s="6" t="s">
        <v>46</v>
      </c>
      <c r="F377" s="3">
        <f>(0.43+0.99)/2</f>
        <v>0.71</v>
      </c>
      <c r="G377" s="3">
        <f>(14+28)/2</f>
        <v>21</v>
      </c>
      <c r="H377" s="3">
        <f>(3.7+6.4)/2</f>
        <v>5.0500000000000007</v>
      </c>
      <c r="I377" s="3"/>
      <c r="J377" s="3">
        <f>(4.5+12)/2</f>
        <v>8.25</v>
      </c>
      <c r="K377" s="3"/>
      <c r="L377" s="3"/>
      <c r="M377" s="3"/>
      <c r="N377" s="3"/>
    </row>
    <row r="378" spans="2:14" ht="15.75" customHeight="1" x14ac:dyDescent="0.2">
      <c r="B378" s="10" t="s">
        <v>302</v>
      </c>
      <c r="E378" s="6" t="s">
        <v>45</v>
      </c>
      <c r="F378" s="3">
        <f>(0.47+0.96)/2</f>
        <v>0.71499999999999997</v>
      </c>
      <c r="G378" s="3">
        <f>(20+31)/2</f>
        <v>25.5</v>
      </c>
      <c r="H378" s="3">
        <f>(6.4+7.1)/2</f>
        <v>6.75</v>
      </c>
      <c r="I378" s="3"/>
      <c r="J378" s="3">
        <f>(6.4+7.5)/2</f>
        <v>6.95</v>
      </c>
      <c r="K378" s="3"/>
      <c r="L378" s="3"/>
      <c r="M378" s="3">
        <f>(39+47)/2</f>
        <v>43</v>
      </c>
      <c r="N378" s="3"/>
    </row>
    <row r="379" spans="2:14" ht="15.75" customHeight="1" x14ac:dyDescent="0.2">
      <c r="B379" s="10" t="s">
        <v>303</v>
      </c>
      <c r="E379" s="6" t="s">
        <v>45</v>
      </c>
      <c r="F379" s="3">
        <v>0.85</v>
      </c>
      <c r="G379" s="3">
        <f>(35+40)/2</f>
        <v>37.5</v>
      </c>
      <c r="H379" s="3">
        <v>6</v>
      </c>
      <c r="I379" s="3"/>
      <c r="J379" s="3">
        <v>4</v>
      </c>
      <c r="K379" s="3"/>
      <c r="L379" s="3"/>
      <c r="M379" s="3">
        <v>49</v>
      </c>
      <c r="N379" s="3"/>
    </row>
    <row r="380" spans="2:14" ht="15.75" customHeight="1" x14ac:dyDescent="0.2">
      <c r="B380" s="10" t="s">
        <v>304</v>
      </c>
      <c r="C380" s="10" t="s">
        <v>305</v>
      </c>
      <c r="E380" s="6" t="s">
        <v>45</v>
      </c>
      <c r="F380" s="3">
        <f>(0.35+0.51)/2</f>
        <v>0.43</v>
      </c>
      <c r="G380" s="3">
        <f>(16+27)/2</f>
        <v>21.5</v>
      </c>
      <c r="H380" s="3">
        <f>(5+5.9)/2</f>
        <v>5.45</v>
      </c>
      <c r="I380" s="3"/>
      <c r="J380" s="3">
        <f>(3.2+3.7)/2</f>
        <v>3.45</v>
      </c>
      <c r="K380" s="3"/>
      <c r="L380" s="3"/>
      <c r="M380" s="3">
        <f>(50+53)/2</f>
        <v>51.5</v>
      </c>
      <c r="N380" s="3"/>
    </row>
    <row r="381" spans="2:14" ht="15.75" customHeight="1" x14ac:dyDescent="0.2">
      <c r="B381" s="10" t="s">
        <v>306</v>
      </c>
      <c r="C381" s="10" t="s">
        <v>307</v>
      </c>
      <c r="E381" s="6" t="s">
        <v>46</v>
      </c>
      <c r="F381" s="3">
        <v>0.68</v>
      </c>
      <c r="G381" s="3">
        <v>35</v>
      </c>
      <c r="H381" s="3">
        <v>6.3</v>
      </c>
      <c r="I381" s="3"/>
      <c r="J381" s="3">
        <v>3.9</v>
      </c>
      <c r="K381" s="11"/>
      <c r="L381" s="11"/>
      <c r="M381" s="11"/>
      <c r="N381" s="11"/>
    </row>
    <row r="382" spans="2:14" ht="15.75" customHeight="1" x14ac:dyDescent="0.2">
      <c r="B382" s="10" t="s">
        <v>308</v>
      </c>
      <c r="E382" s="6" t="s">
        <v>45</v>
      </c>
      <c r="F382" s="3">
        <v>2</v>
      </c>
      <c r="G382" s="3">
        <v>25</v>
      </c>
      <c r="H382" s="3">
        <v>7</v>
      </c>
      <c r="I382" s="3"/>
      <c r="J382" s="3">
        <f t="shared" ref="J382:J383" si="20">(35+40)/2</f>
        <v>37.5</v>
      </c>
      <c r="K382" s="3"/>
      <c r="L382" s="3"/>
      <c r="M382" s="3">
        <v>64</v>
      </c>
      <c r="N382" s="3"/>
    </row>
    <row r="383" spans="2:14" ht="15.75" customHeight="1" x14ac:dyDescent="0.2">
      <c r="B383" s="10" t="s">
        <v>308</v>
      </c>
      <c r="E383" s="6" t="s">
        <v>46</v>
      </c>
      <c r="F383" s="3">
        <v>1.7</v>
      </c>
      <c r="G383" s="3">
        <v>25</v>
      </c>
      <c r="H383" s="3">
        <v>7</v>
      </c>
      <c r="I383" s="3"/>
      <c r="J383" s="3">
        <f t="shared" si="20"/>
        <v>37.5</v>
      </c>
      <c r="K383" s="11"/>
      <c r="L383" s="11"/>
      <c r="M383" s="11"/>
      <c r="N383" s="11"/>
    </row>
    <row r="384" spans="2:14" ht="15.75" customHeight="1" x14ac:dyDescent="0.2">
      <c r="B384" s="10" t="s">
        <v>309</v>
      </c>
      <c r="E384" s="6" t="s">
        <v>45</v>
      </c>
      <c r="F384" s="3">
        <v>0.56000000000000005</v>
      </c>
      <c r="G384" s="3">
        <f>(26+27)/2</f>
        <v>26.5</v>
      </c>
      <c r="H384" s="3">
        <f t="shared" ref="H384:H385" si="21">(6+6.5)/2</f>
        <v>6.25</v>
      </c>
      <c r="I384" s="3"/>
      <c r="J384" s="3">
        <f>(7+8)/2</f>
        <v>7.5</v>
      </c>
      <c r="K384" s="3"/>
      <c r="L384" s="3"/>
      <c r="M384" s="3">
        <v>55</v>
      </c>
      <c r="N384" s="3"/>
    </row>
    <row r="385" spans="2:14" ht="15.75" customHeight="1" x14ac:dyDescent="0.2">
      <c r="B385" s="10" t="s">
        <v>309</v>
      </c>
      <c r="E385" s="6" t="s">
        <v>46</v>
      </c>
      <c r="F385" s="3">
        <v>0.65</v>
      </c>
      <c r="G385" s="3">
        <f>(32+33)/2</f>
        <v>32.5</v>
      </c>
      <c r="H385" s="3">
        <f t="shared" si="21"/>
        <v>6.25</v>
      </c>
      <c r="I385" s="3"/>
      <c r="J385" s="3">
        <v>11</v>
      </c>
      <c r="K385" s="11"/>
      <c r="L385" s="11"/>
      <c r="M385" s="11"/>
      <c r="N385" s="11"/>
    </row>
    <row r="386" spans="2:14" ht="15.75" customHeight="1" x14ac:dyDescent="0.2">
      <c r="B386" s="10" t="s">
        <v>310</v>
      </c>
      <c r="C386" s="10" t="s">
        <v>311</v>
      </c>
      <c r="E386" s="6" t="s">
        <v>45</v>
      </c>
      <c r="F386" s="3">
        <v>2.11</v>
      </c>
      <c r="G386" s="3">
        <v>40</v>
      </c>
      <c r="H386" s="3">
        <v>14</v>
      </c>
      <c r="I386" s="3"/>
      <c r="J386" s="3">
        <v>15</v>
      </c>
      <c r="K386" s="3"/>
      <c r="L386" s="3"/>
      <c r="M386" s="3">
        <v>60</v>
      </c>
      <c r="N386" s="3"/>
    </row>
    <row r="387" spans="2:14" ht="15.75" customHeight="1" x14ac:dyDescent="0.2">
      <c r="B387" s="10" t="s">
        <v>310</v>
      </c>
      <c r="C387" s="10" t="s">
        <v>311</v>
      </c>
      <c r="E387" s="6" t="s">
        <v>46</v>
      </c>
      <c r="F387" s="3">
        <v>1.95</v>
      </c>
      <c r="G387" s="3">
        <v>45</v>
      </c>
      <c r="H387" s="3">
        <v>13</v>
      </c>
      <c r="I387" s="3"/>
      <c r="J387" s="3">
        <v>14</v>
      </c>
      <c r="K387" s="11"/>
      <c r="L387" s="11"/>
      <c r="M387" s="11"/>
      <c r="N387" s="11"/>
    </row>
    <row r="388" spans="2:14" ht="15.75" customHeight="1" x14ac:dyDescent="0.2">
      <c r="B388" s="10" t="s">
        <v>312</v>
      </c>
      <c r="E388" s="6" t="s">
        <v>45</v>
      </c>
      <c r="F388" s="3">
        <f>(1.5+2.6)/2</f>
        <v>2.0499999999999998</v>
      </c>
      <c r="G388" s="3">
        <f>(42+58)/2</f>
        <v>50</v>
      </c>
      <c r="H388" s="3">
        <f>(3+3.8)/2</f>
        <v>3.4</v>
      </c>
      <c r="I388" s="3"/>
      <c r="J388" s="3">
        <f>(20+28)/2</f>
        <v>24</v>
      </c>
      <c r="K388" s="3"/>
      <c r="L388" s="3"/>
      <c r="M388" s="3">
        <f>(49.5+60)/2</f>
        <v>54.75</v>
      </c>
      <c r="N388" s="3"/>
    </row>
    <row r="389" spans="2:14" ht="15.75" customHeight="1" x14ac:dyDescent="0.2">
      <c r="B389" s="10" t="s">
        <v>312</v>
      </c>
      <c r="E389" s="6" t="s">
        <v>46</v>
      </c>
      <c r="F389" s="3">
        <f>(1.34+1.9)/2</f>
        <v>1.62</v>
      </c>
      <c r="G389" s="3">
        <f>(43+53)/2</f>
        <v>48</v>
      </c>
      <c r="H389" s="3">
        <f>(2.4+3.2)/2</f>
        <v>2.8</v>
      </c>
      <c r="I389" s="3"/>
      <c r="J389" s="3">
        <v>25</v>
      </c>
      <c r="K389" s="11"/>
      <c r="L389" s="11"/>
      <c r="M389" s="11"/>
      <c r="N389" s="11"/>
    </row>
    <row r="390" spans="2:14" ht="15.75" customHeight="1" x14ac:dyDescent="0.2">
      <c r="B390" s="10" t="s">
        <v>313</v>
      </c>
      <c r="C390" s="10" t="s">
        <v>314</v>
      </c>
      <c r="E390" s="6" t="s">
        <v>45</v>
      </c>
      <c r="F390" s="3">
        <f>(1.41+1.46)/2</f>
        <v>1.4350000000000001</v>
      </c>
      <c r="G390" s="3">
        <f>(45+59)/2</f>
        <v>52</v>
      </c>
      <c r="H390" s="3">
        <f>(3.3+3.5)/2</f>
        <v>3.4</v>
      </c>
      <c r="I390" s="3"/>
      <c r="J390" s="3">
        <f>(6.4+7.3)/2</f>
        <v>6.85</v>
      </c>
      <c r="K390" s="3"/>
      <c r="L390" s="3"/>
      <c r="M390" s="3">
        <f>(50+53)/2</f>
        <v>51.5</v>
      </c>
      <c r="N390" s="3"/>
    </row>
    <row r="391" spans="2:14" ht="15.75" customHeight="1" x14ac:dyDescent="0.2">
      <c r="B391" s="10" t="s">
        <v>315</v>
      </c>
      <c r="C391" s="10" t="s">
        <v>316</v>
      </c>
      <c r="E391" s="6" t="s">
        <v>45</v>
      </c>
      <c r="F391" s="3">
        <v>0.7</v>
      </c>
      <c r="G391" s="3">
        <v>28</v>
      </c>
      <c r="H391" s="3">
        <v>4.5</v>
      </c>
      <c r="I391" s="3"/>
      <c r="J391" s="3">
        <v>5.5</v>
      </c>
      <c r="K391" s="3"/>
      <c r="L391" s="3"/>
      <c r="M391" s="3">
        <v>55</v>
      </c>
      <c r="N391" s="3"/>
    </row>
    <row r="392" spans="2:14" ht="15.75" customHeight="1" x14ac:dyDescent="0.2">
      <c r="B392" s="10" t="s">
        <v>317</v>
      </c>
      <c r="C392" s="10" t="s">
        <v>318</v>
      </c>
      <c r="E392" s="6" t="s">
        <v>45</v>
      </c>
      <c r="F392" s="3">
        <v>3.5</v>
      </c>
      <c r="G392" s="3">
        <f t="shared" ref="G392:G393" si="22">(35+40)/2</f>
        <v>37.5</v>
      </c>
      <c r="H392" s="3">
        <f>(6.5+7)/2</f>
        <v>6.75</v>
      </c>
      <c r="I392" s="3"/>
      <c r="J392" s="3">
        <f>(20+24)/2</f>
        <v>22</v>
      </c>
      <c r="K392" s="3"/>
      <c r="L392" s="3"/>
      <c r="M392" s="3">
        <f>(50+60)/2</f>
        <v>55</v>
      </c>
      <c r="N392" s="3"/>
    </row>
    <row r="393" spans="2:14" ht="15.75" customHeight="1" x14ac:dyDescent="0.2">
      <c r="B393" s="10" t="s">
        <v>317</v>
      </c>
      <c r="C393" s="10" t="s">
        <v>318</v>
      </c>
      <c r="E393" s="6" t="s">
        <v>46</v>
      </c>
      <c r="F393" s="3">
        <v>2.4</v>
      </c>
      <c r="G393" s="3">
        <f t="shared" si="22"/>
        <v>37.5</v>
      </c>
      <c r="H393" s="3">
        <v>6</v>
      </c>
      <c r="I393" s="3"/>
      <c r="J393" s="3">
        <v>20</v>
      </c>
      <c r="K393" s="11"/>
      <c r="L393" s="11"/>
      <c r="M393" s="11"/>
      <c r="N393" s="11"/>
    </row>
    <row r="394" spans="2:14" ht="15.75" customHeight="1" x14ac:dyDescent="0.2">
      <c r="B394" s="10" t="s">
        <v>319</v>
      </c>
      <c r="C394" s="10" t="s">
        <v>320</v>
      </c>
      <c r="E394" s="6" t="s">
        <v>45</v>
      </c>
      <c r="F394" s="3">
        <v>1.1000000000000001</v>
      </c>
      <c r="G394" s="3">
        <v>42</v>
      </c>
      <c r="H394" s="3">
        <v>5.5</v>
      </c>
      <c r="I394" s="3"/>
      <c r="J394" s="3">
        <v>2.8</v>
      </c>
      <c r="K394" s="3"/>
      <c r="L394" s="3"/>
      <c r="M394" s="3">
        <v>43</v>
      </c>
      <c r="N394" s="3"/>
    </row>
    <row r="395" spans="2:14" ht="15.75" customHeight="1" x14ac:dyDescent="0.2">
      <c r="B395" s="10" t="s">
        <v>321</v>
      </c>
      <c r="E395" s="6" t="s">
        <v>45</v>
      </c>
      <c r="F395" s="3">
        <v>1</v>
      </c>
      <c r="G395" s="3">
        <v>26.2</v>
      </c>
      <c r="H395" s="3">
        <v>3.84</v>
      </c>
      <c r="I395" s="3"/>
      <c r="J395" s="3">
        <v>9.1999999999999993</v>
      </c>
      <c r="K395" s="3"/>
      <c r="L395" s="3"/>
      <c r="M395" s="3">
        <v>60</v>
      </c>
      <c r="N395" s="3"/>
    </row>
    <row r="396" spans="2:14" ht="15.75" customHeight="1" x14ac:dyDescent="0.2">
      <c r="B396" s="10" t="s">
        <v>322</v>
      </c>
      <c r="C396" s="10" t="s">
        <v>323</v>
      </c>
      <c r="E396" s="6" t="s">
        <v>45</v>
      </c>
      <c r="F396" s="3">
        <v>0.79</v>
      </c>
      <c r="G396" s="3">
        <v>22</v>
      </c>
      <c r="H396" s="3">
        <v>5.2</v>
      </c>
      <c r="I396" s="3"/>
      <c r="J396" s="3">
        <v>6.6</v>
      </c>
      <c r="K396" s="3"/>
      <c r="L396" s="3"/>
      <c r="M396" s="3">
        <v>51</v>
      </c>
      <c r="N396" s="3"/>
    </row>
    <row r="397" spans="2:14" ht="15.75" customHeight="1" x14ac:dyDescent="0.2">
      <c r="B397" s="10" t="s">
        <v>324</v>
      </c>
      <c r="E397" s="6" t="s">
        <v>45</v>
      </c>
      <c r="F397" s="3">
        <v>7.2</v>
      </c>
      <c r="G397" s="3">
        <v>90</v>
      </c>
      <c r="H397" s="3">
        <v>8.5</v>
      </c>
      <c r="I397" s="3"/>
      <c r="J397" s="3">
        <v>50</v>
      </c>
      <c r="K397" s="3"/>
      <c r="L397" s="3"/>
      <c r="M397" s="3">
        <v>60</v>
      </c>
      <c r="N397" s="3"/>
    </row>
    <row r="398" spans="2:14" ht="15.75" customHeight="1" x14ac:dyDescent="0.2">
      <c r="B398" s="10" t="s">
        <v>325</v>
      </c>
      <c r="C398" s="10" t="s">
        <v>326</v>
      </c>
      <c r="E398" s="6" t="s">
        <v>45</v>
      </c>
      <c r="F398" s="3">
        <v>0.83</v>
      </c>
      <c r="G398" s="3">
        <v>19</v>
      </c>
      <c r="H398" s="3">
        <v>3.8</v>
      </c>
      <c r="I398" s="3"/>
      <c r="J398" s="3">
        <v>23</v>
      </c>
      <c r="K398" s="3"/>
      <c r="L398" s="3"/>
      <c r="M398" s="3">
        <v>61</v>
      </c>
      <c r="N398" s="3"/>
    </row>
    <row r="399" spans="2:14" ht="15.75" customHeight="1" x14ac:dyDescent="0.2">
      <c r="B399" s="10" t="s">
        <v>327</v>
      </c>
      <c r="E399" s="6" t="s">
        <v>45</v>
      </c>
      <c r="F399" s="3">
        <f>(1.32+1.42)/2</f>
        <v>1.37</v>
      </c>
      <c r="G399" s="3">
        <f>(25+26)/2</f>
        <v>25.5</v>
      </c>
      <c r="H399" s="3">
        <f>(4.7+5.3)/2</f>
        <v>5</v>
      </c>
      <c r="I399" s="3"/>
      <c r="J399" s="3">
        <f>(6+6.8)/2</f>
        <v>6.4</v>
      </c>
      <c r="K399" s="3"/>
      <c r="L399" s="3"/>
      <c r="M399" s="3">
        <f>(50+55)/2</f>
        <v>52.5</v>
      </c>
      <c r="N399" s="3"/>
    </row>
    <row r="400" spans="2:14" ht="15.75" customHeight="1" x14ac:dyDescent="0.2">
      <c r="B400" s="10" t="s">
        <v>327</v>
      </c>
      <c r="E400" s="6" t="s">
        <v>46</v>
      </c>
      <c r="F400" s="3">
        <f>(1.41+2.05)/2</f>
        <v>1.73</v>
      </c>
      <c r="G400" s="3">
        <f>(27+31)/2</f>
        <v>29</v>
      </c>
      <c r="H400" s="3">
        <f>(5.3+5.6)/2</f>
        <v>5.4499999999999993</v>
      </c>
      <c r="I400" s="3"/>
      <c r="J400" s="3">
        <f>(6.5+7.2)/2</f>
        <v>6.85</v>
      </c>
      <c r="K400" s="11"/>
      <c r="L400" s="11"/>
      <c r="M400" s="11"/>
      <c r="N400" s="11"/>
    </row>
    <row r="401" spans="2:14" ht="15.75" customHeight="1" x14ac:dyDescent="0.2">
      <c r="B401" s="10" t="s">
        <v>328</v>
      </c>
      <c r="E401" s="6" t="s">
        <v>45</v>
      </c>
      <c r="F401" s="3">
        <f>(2.07+3.3)/2</f>
        <v>2.6849999999999996</v>
      </c>
      <c r="G401" s="3">
        <f>(20+37)/2</f>
        <v>28.5</v>
      </c>
      <c r="H401" s="3">
        <f>(4.5+5.1)/2</f>
        <v>4.8</v>
      </c>
      <c r="I401" s="3"/>
      <c r="J401" s="3">
        <f>(8.4+15)/2</f>
        <v>11.7</v>
      </c>
      <c r="K401" s="3"/>
      <c r="L401" s="3"/>
      <c r="M401" s="3">
        <f>(41+50)/2</f>
        <v>45.5</v>
      </c>
      <c r="N401" s="3"/>
    </row>
    <row r="402" spans="2:14" ht="15.75" customHeight="1" x14ac:dyDescent="0.2">
      <c r="B402" s="10" t="s">
        <v>328</v>
      </c>
      <c r="E402" s="6" t="s">
        <v>46</v>
      </c>
      <c r="F402" s="3">
        <f>(1.5+2.1)/2</f>
        <v>1.8</v>
      </c>
      <c r="G402" s="3">
        <f>(28+39)/2</f>
        <v>33.5</v>
      </c>
      <c r="H402" s="3">
        <f>(4.8+5.6)/2</f>
        <v>5.1999999999999993</v>
      </c>
      <c r="I402" s="3"/>
      <c r="J402" s="3">
        <f>(12+16)/2</f>
        <v>14</v>
      </c>
      <c r="K402" s="11"/>
      <c r="L402" s="11"/>
      <c r="M402" s="11"/>
      <c r="N402" s="11"/>
    </row>
    <row r="403" spans="2:14" ht="15.75" customHeight="1" x14ac:dyDescent="0.2">
      <c r="B403" s="10" t="s">
        <v>329</v>
      </c>
      <c r="C403" s="10" t="s">
        <v>330</v>
      </c>
      <c r="E403" s="6" t="s">
        <v>45</v>
      </c>
      <c r="F403" s="3">
        <f>(2.7+3.8)/2</f>
        <v>3.25</v>
      </c>
      <c r="G403" s="3">
        <f t="shared" ref="G403:G404" si="23">(50+60)/2</f>
        <v>55</v>
      </c>
      <c r="H403" s="3">
        <v>6</v>
      </c>
      <c r="I403" s="3"/>
      <c r="J403" s="3">
        <f t="shared" ref="J403:J404" si="24">(14+22)/2</f>
        <v>18</v>
      </c>
      <c r="K403" s="3"/>
      <c r="L403" s="3"/>
      <c r="M403" s="3">
        <v>50</v>
      </c>
      <c r="N403" s="3"/>
    </row>
    <row r="404" spans="2:14" ht="15.75" customHeight="1" x14ac:dyDescent="0.2">
      <c r="B404" s="10" t="s">
        <v>329</v>
      </c>
      <c r="C404" s="10" t="s">
        <v>330</v>
      </c>
      <c r="E404" s="6" t="s">
        <v>46</v>
      </c>
      <c r="F404" s="3">
        <v>3.8</v>
      </c>
      <c r="G404" s="3">
        <f t="shared" si="23"/>
        <v>55</v>
      </c>
      <c r="H404" s="3">
        <v>6</v>
      </c>
      <c r="I404" s="3"/>
      <c r="J404" s="3">
        <f t="shared" si="24"/>
        <v>18</v>
      </c>
      <c r="K404" s="11"/>
      <c r="L404" s="11"/>
      <c r="M404" s="11"/>
      <c r="N404" s="11"/>
    </row>
    <row r="405" spans="2:14" ht="15.75" customHeight="1" x14ac:dyDescent="0.2">
      <c r="B405" s="10" t="s">
        <v>331</v>
      </c>
      <c r="E405" s="6" t="s">
        <v>45</v>
      </c>
      <c r="F405" s="3">
        <f>(1+1.15)/2</f>
        <v>1.075</v>
      </c>
      <c r="G405" s="3">
        <f>(38+46)/2</f>
        <v>42</v>
      </c>
      <c r="H405" s="3">
        <f>(4.5+4.8)/2</f>
        <v>4.6500000000000004</v>
      </c>
      <c r="I405" s="3"/>
      <c r="J405" s="3">
        <f>(2.9+3.5)/2</f>
        <v>3.2</v>
      </c>
      <c r="K405" s="3"/>
      <c r="L405" s="3"/>
      <c r="M405" s="3">
        <f>(41+45)/2</f>
        <v>43</v>
      </c>
      <c r="N405" s="3"/>
    </row>
    <row r="406" spans="2:14" ht="15.75" customHeight="1" x14ac:dyDescent="0.2">
      <c r="B406" s="10" t="s">
        <v>332</v>
      </c>
      <c r="E406" s="6" t="s">
        <v>45</v>
      </c>
      <c r="F406" s="3">
        <v>4.8</v>
      </c>
      <c r="G406" s="3">
        <v>30</v>
      </c>
      <c r="H406" s="3">
        <v>5</v>
      </c>
      <c r="I406" s="3"/>
      <c r="J406" s="3">
        <v>20</v>
      </c>
      <c r="K406" s="3"/>
      <c r="L406" s="3"/>
      <c r="M406" s="3">
        <v>44</v>
      </c>
      <c r="N406" s="3"/>
    </row>
    <row r="407" spans="2:14" ht="15.75" customHeight="1" x14ac:dyDescent="0.2">
      <c r="B407" s="10" t="s">
        <v>332</v>
      </c>
      <c r="E407" s="6" t="s">
        <v>46</v>
      </c>
      <c r="F407" s="3">
        <v>4.2</v>
      </c>
      <c r="G407" s="3">
        <v>33</v>
      </c>
      <c r="H407" s="3">
        <v>4.5</v>
      </c>
      <c r="I407" s="3"/>
      <c r="J407" s="3">
        <v>71</v>
      </c>
      <c r="K407" s="11"/>
      <c r="L407" s="11"/>
      <c r="M407" s="11"/>
      <c r="N407" s="11"/>
    </row>
    <row r="408" spans="2:14" ht="15.75" customHeight="1" x14ac:dyDescent="0.2">
      <c r="B408" s="10" t="s">
        <v>333</v>
      </c>
      <c r="E408" s="6" t="s">
        <v>45</v>
      </c>
      <c r="F408" s="3">
        <v>1.1000000000000001</v>
      </c>
      <c r="G408" s="3">
        <v>23</v>
      </c>
      <c r="H408" s="3">
        <v>4.7</v>
      </c>
      <c r="I408" s="3"/>
      <c r="J408" s="3">
        <v>18</v>
      </c>
      <c r="K408" s="3"/>
      <c r="L408" s="3"/>
      <c r="M408" s="3">
        <v>51</v>
      </c>
      <c r="N408" s="3"/>
    </row>
    <row r="409" spans="2:14" ht="15.75" customHeight="1" x14ac:dyDescent="0.2">
      <c r="B409" s="10" t="s">
        <v>333</v>
      </c>
      <c r="E409" s="6" t="s">
        <v>46</v>
      </c>
      <c r="F409" s="3">
        <v>1.1000000000000001</v>
      </c>
      <c r="G409" s="3">
        <v>25</v>
      </c>
      <c r="H409" s="3">
        <v>4.3</v>
      </c>
      <c r="I409" s="3"/>
      <c r="J409" s="3">
        <v>50</v>
      </c>
      <c r="K409" s="11"/>
      <c r="L409" s="11"/>
      <c r="M409" s="11"/>
      <c r="N409" s="11"/>
    </row>
    <row r="410" spans="2:14" ht="15.75" customHeight="1" x14ac:dyDescent="0.2">
      <c r="B410" s="10" t="s">
        <v>334</v>
      </c>
      <c r="E410" s="6" t="s">
        <v>45</v>
      </c>
      <c r="F410" s="3">
        <f>(1.4+2)/2</f>
        <v>1.7</v>
      </c>
      <c r="G410" s="3">
        <v>31</v>
      </c>
      <c r="H410" s="3">
        <v>4</v>
      </c>
      <c r="I410" s="3"/>
      <c r="J410" s="3">
        <v>25</v>
      </c>
      <c r="K410" s="3"/>
      <c r="L410" s="3"/>
      <c r="M410" s="3">
        <v>48</v>
      </c>
      <c r="N410" s="3"/>
    </row>
    <row r="411" spans="2:14" ht="15.75" customHeight="1" x14ac:dyDescent="0.2">
      <c r="B411" s="10" t="s">
        <v>334</v>
      </c>
      <c r="E411" s="6" t="s">
        <v>46</v>
      </c>
      <c r="F411" s="3">
        <f>(1.5+2)/2</f>
        <v>1.75</v>
      </c>
      <c r="G411" s="3">
        <v>33</v>
      </c>
      <c r="H411" s="3">
        <v>4</v>
      </c>
      <c r="I411" s="3"/>
      <c r="J411" s="3">
        <v>24</v>
      </c>
      <c r="K411" s="11"/>
      <c r="L411" s="11"/>
      <c r="M411" s="11"/>
      <c r="N411" s="11"/>
    </row>
    <row r="412" spans="2:14" ht="15.75" customHeight="1" x14ac:dyDescent="0.2">
      <c r="B412" s="10" t="s">
        <v>335</v>
      </c>
      <c r="E412" s="6" t="s">
        <v>45</v>
      </c>
      <c r="F412" s="3">
        <f>(3+3.6)/2</f>
        <v>3.3</v>
      </c>
      <c r="G412" s="3">
        <v>35</v>
      </c>
      <c r="H412" s="3">
        <v>4.0999999999999996</v>
      </c>
      <c r="I412" s="3"/>
      <c r="J412" s="3">
        <v>100</v>
      </c>
      <c r="K412" s="3"/>
      <c r="L412" s="3"/>
      <c r="M412" s="3">
        <v>50</v>
      </c>
      <c r="N412" s="3"/>
    </row>
    <row r="413" spans="2:14" ht="15.75" customHeight="1" x14ac:dyDescent="0.2">
      <c r="B413" s="10" t="s">
        <v>335</v>
      </c>
      <c r="E413" s="6" t="s">
        <v>46</v>
      </c>
      <c r="F413" s="3">
        <f>(3+3.5)/2</f>
        <v>3.25</v>
      </c>
      <c r="G413" s="3">
        <v>43</v>
      </c>
      <c r="H413" s="3">
        <f>(4+5.2)/2</f>
        <v>4.5999999999999996</v>
      </c>
      <c r="I413" s="3"/>
      <c r="J413" s="3">
        <v>100</v>
      </c>
      <c r="K413" s="11"/>
      <c r="L413" s="11"/>
      <c r="M413" s="11"/>
      <c r="N413" s="11"/>
    </row>
    <row r="414" spans="2:14" ht="15.75" customHeight="1" x14ac:dyDescent="0.2">
      <c r="B414" s="10" t="s">
        <v>336</v>
      </c>
      <c r="E414" s="6" t="s">
        <v>45</v>
      </c>
      <c r="F414" s="3">
        <v>1.9</v>
      </c>
      <c r="G414" s="3">
        <v>67</v>
      </c>
      <c r="H414" s="3">
        <v>7.1</v>
      </c>
      <c r="I414" s="3"/>
      <c r="J414" s="3">
        <v>25</v>
      </c>
      <c r="K414" s="3"/>
      <c r="L414" s="3"/>
      <c r="M414" s="3">
        <v>34</v>
      </c>
      <c r="N414" s="3"/>
    </row>
    <row r="415" spans="2:14" ht="15.75" customHeight="1" x14ac:dyDescent="0.2">
      <c r="B415" s="10" t="s">
        <v>337</v>
      </c>
      <c r="E415" s="6" t="s">
        <v>45</v>
      </c>
      <c r="F415" s="3">
        <f>(1.3+1.92)/2</f>
        <v>1.6099999999999999</v>
      </c>
      <c r="G415" s="3">
        <f>(20+28)/2</f>
        <v>24</v>
      </c>
      <c r="H415" s="3">
        <f>(3.9+5)/2</f>
        <v>4.45</v>
      </c>
      <c r="I415" s="3"/>
      <c r="J415" s="3">
        <f>(51+63)/2</f>
        <v>57</v>
      </c>
      <c r="K415" s="3"/>
      <c r="L415" s="3"/>
      <c r="M415" s="3">
        <v>54</v>
      </c>
      <c r="N415" s="3"/>
    </row>
    <row r="416" spans="2:14" ht="15.75" customHeight="1" x14ac:dyDescent="0.2">
      <c r="B416" s="10" t="s">
        <v>337</v>
      </c>
      <c r="E416" s="6" t="s">
        <v>46</v>
      </c>
      <c r="F416" s="3">
        <f>(1+1.25)/2</f>
        <v>1.125</v>
      </c>
      <c r="G416" s="3">
        <f>(21+31)/2</f>
        <v>26</v>
      </c>
      <c r="H416" s="3">
        <f>(4+4.3)/2</f>
        <v>4.1500000000000004</v>
      </c>
      <c r="I416" s="3"/>
      <c r="J416" s="3">
        <f>(33+45)/2</f>
        <v>39</v>
      </c>
      <c r="K416" s="11"/>
      <c r="L416" s="11"/>
      <c r="M416" s="11"/>
      <c r="N416" s="11"/>
    </row>
    <row r="417" spans="2:14" ht="15.75" customHeight="1" x14ac:dyDescent="0.2">
      <c r="B417" s="10" t="s">
        <v>338</v>
      </c>
      <c r="E417" s="6" t="s">
        <v>45</v>
      </c>
      <c r="F417" s="3">
        <f>(0.9+1.4)/2</f>
        <v>1.1499999999999999</v>
      </c>
      <c r="G417" s="3">
        <v>33</v>
      </c>
      <c r="H417" s="3">
        <v>4.5</v>
      </c>
      <c r="I417" s="3"/>
      <c r="J417" s="3">
        <v>27</v>
      </c>
      <c r="K417" s="3"/>
      <c r="L417" s="3"/>
      <c r="M417" s="3">
        <v>48</v>
      </c>
      <c r="N417" s="3"/>
    </row>
    <row r="418" spans="2:14" ht="15.75" customHeight="1" x14ac:dyDescent="0.2">
      <c r="B418" s="10" t="s">
        <v>338</v>
      </c>
      <c r="E418" s="6" t="s">
        <v>46</v>
      </c>
      <c r="F418" s="3">
        <v>1.2</v>
      </c>
      <c r="G418" s="3">
        <v>36</v>
      </c>
      <c r="H418" s="3">
        <v>4.3</v>
      </c>
      <c r="I418" s="3"/>
      <c r="J418" s="3">
        <v>25</v>
      </c>
      <c r="K418" s="11"/>
      <c r="L418" s="11"/>
      <c r="M418" s="11"/>
      <c r="N418" s="11"/>
    </row>
    <row r="419" spans="2:14" ht="15.75" customHeight="1" x14ac:dyDescent="0.2">
      <c r="B419" s="10" t="s">
        <v>339</v>
      </c>
      <c r="E419" s="6" t="s">
        <v>45</v>
      </c>
      <c r="F419" s="3">
        <f>(1.7+2.2)/2</f>
        <v>1.9500000000000002</v>
      </c>
      <c r="G419" s="3">
        <f>(31+39)/2</f>
        <v>35</v>
      </c>
      <c r="H419" s="3">
        <f>(3.7+5)/2</f>
        <v>4.3499999999999996</v>
      </c>
      <c r="I419" s="3"/>
      <c r="J419" s="3">
        <f>(68+70)/2</f>
        <v>69</v>
      </c>
      <c r="K419" s="3"/>
      <c r="L419" s="3"/>
      <c r="M419" s="3">
        <f>(39+45)/2</f>
        <v>42</v>
      </c>
      <c r="N419" s="3"/>
    </row>
    <row r="420" spans="2:14" ht="15.75" customHeight="1" x14ac:dyDescent="0.2">
      <c r="B420" s="10" t="s">
        <v>340</v>
      </c>
      <c r="E420" s="6" t="s">
        <v>45</v>
      </c>
      <c r="F420" s="3">
        <v>2.39</v>
      </c>
      <c r="G420" s="3">
        <v>42</v>
      </c>
      <c r="H420" s="3">
        <v>4.5999999999999996</v>
      </c>
      <c r="I420" s="3"/>
      <c r="J420" s="3">
        <v>65</v>
      </c>
      <c r="K420" s="3"/>
      <c r="L420" s="3"/>
      <c r="M420" s="3">
        <v>55</v>
      </c>
      <c r="N420" s="3"/>
    </row>
    <row r="421" spans="2:14" ht="15.75" customHeight="1" x14ac:dyDescent="0.2">
      <c r="B421" s="10" t="s">
        <v>341</v>
      </c>
      <c r="E421" s="6" t="s">
        <v>45</v>
      </c>
      <c r="F421" s="3">
        <v>1.2</v>
      </c>
      <c r="G421" s="3">
        <v>40</v>
      </c>
      <c r="H421" s="3">
        <v>4.5</v>
      </c>
      <c r="I421" s="3"/>
      <c r="J421" s="3">
        <v>59</v>
      </c>
      <c r="K421" s="3"/>
      <c r="L421" s="3"/>
      <c r="M421" s="3">
        <v>45</v>
      </c>
      <c r="N421" s="3"/>
    </row>
    <row r="422" spans="2:14" ht="15.75" customHeight="1" x14ac:dyDescent="0.2">
      <c r="B422" s="10" t="s">
        <v>342</v>
      </c>
      <c r="E422" s="6" t="s">
        <v>45</v>
      </c>
      <c r="F422" s="3">
        <f>(3.22+4.4)/2</f>
        <v>3.8100000000000005</v>
      </c>
      <c r="G422" s="3">
        <f>(27+33)/2</f>
        <v>30</v>
      </c>
      <c r="H422" s="3">
        <f>(4.4+5.9)/2</f>
        <v>5.15</v>
      </c>
      <c r="I422" s="3"/>
      <c r="J422" s="3">
        <f>(60+69)/2</f>
        <v>64.5</v>
      </c>
      <c r="K422" s="3"/>
      <c r="L422" s="3"/>
      <c r="M422" s="3">
        <f>(45+48)/2</f>
        <v>46.5</v>
      </c>
      <c r="N422" s="3"/>
    </row>
    <row r="423" spans="2:14" ht="15.75" customHeight="1" x14ac:dyDescent="0.2">
      <c r="B423" s="10" t="s">
        <v>342</v>
      </c>
      <c r="E423" s="6" t="s">
        <v>46</v>
      </c>
      <c r="F423" s="3">
        <f>(3+4.1)/2</f>
        <v>3.55</v>
      </c>
      <c r="G423" s="3">
        <f>(30+34)/2</f>
        <v>32</v>
      </c>
      <c r="H423" s="3">
        <f>(4.5+5.5)/2</f>
        <v>5</v>
      </c>
      <c r="I423" s="3"/>
      <c r="J423" s="3">
        <f>(62+68)/2</f>
        <v>65</v>
      </c>
      <c r="K423" s="11"/>
      <c r="L423" s="11"/>
      <c r="M423" s="11"/>
      <c r="N423" s="11"/>
    </row>
    <row r="424" spans="2:14" ht="15.75" customHeight="1" x14ac:dyDescent="0.2">
      <c r="B424" s="10" t="s">
        <v>343</v>
      </c>
      <c r="E424" s="6" t="s">
        <v>45</v>
      </c>
      <c r="F424" s="3">
        <f>(2.1+2.3)/2</f>
        <v>2.2000000000000002</v>
      </c>
      <c r="G424" s="3">
        <f>(23+26)/2</f>
        <v>24.5</v>
      </c>
      <c r="H424" s="3">
        <f>(3.9+4)/2</f>
        <v>3.95</v>
      </c>
      <c r="I424" s="3"/>
      <c r="J424" s="3">
        <f>(41+47)/2</f>
        <v>44</v>
      </c>
      <c r="K424" s="3"/>
      <c r="L424" s="3"/>
      <c r="M424" s="3">
        <v>60</v>
      </c>
      <c r="N424" s="3"/>
    </row>
    <row r="425" spans="2:14" ht="15.75" customHeight="1" x14ac:dyDescent="0.2">
      <c r="B425" s="10" t="s">
        <v>343</v>
      </c>
      <c r="E425" s="6" t="s">
        <v>46</v>
      </c>
      <c r="F425" s="3">
        <v>2.2999999999999998</v>
      </c>
      <c r="G425" s="3">
        <v>24</v>
      </c>
      <c r="H425" s="3">
        <v>38</v>
      </c>
      <c r="I425" s="3"/>
      <c r="J425" s="3">
        <v>38</v>
      </c>
      <c r="K425" s="11"/>
      <c r="L425" s="11"/>
      <c r="M425" s="11"/>
      <c r="N425" s="11"/>
    </row>
    <row r="426" spans="2:14" ht="15.75" customHeight="1" x14ac:dyDescent="0.2">
      <c r="B426" s="10" t="s">
        <v>344</v>
      </c>
      <c r="E426" s="6" t="s">
        <v>45</v>
      </c>
      <c r="F426" s="3">
        <v>0.8</v>
      </c>
      <c r="G426" s="3">
        <v>33</v>
      </c>
      <c r="H426" s="3">
        <v>4.5</v>
      </c>
      <c r="I426" s="3"/>
      <c r="J426" s="3">
        <v>3.9</v>
      </c>
      <c r="K426" s="3"/>
      <c r="L426" s="3"/>
      <c r="M426" s="3">
        <v>39</v>
      </c>
      <c r="N426" s="3"/>
    </row>
    <row r="427" spans="2:14" ht="15.75" customHeight="1" x14ac:dyDescent="0.2">
      <c r="B427" s="10" t="s">
        <v>344</v>
      </c>
      <c r="E427" s="6" t="s">
        <v>46</v>
      </c>
      <c r="F427" s="3">
        <v>0.74</v>
      </c>
      <c r="G427" s="3">
        <v>43</v>
      </c>
      <c r="H427" s="3">
        <v>3.9</v>
      </c>
      <c r="I427" s="3"/>
      <c r="J427" s="3">
        <v>4.7</v>
      </c>
      <c r="K427" s="11"/>
      <c r="L427" s="11"/>
      <c r="M427" s="11"/>
      <c r="N427" s="11"/>
    </row>
    <row r="428" spans="2:14" ht="15.75" customHeight="1" x14ac:dyDescent="0.2">
      <c r="B428" s="10" t="s">
        <v>345</v>
      </c>
      <c r="C428" s="10" t="s">
        <v>346</v>
      </c>
      <c r="E428" s="6" t="s">
        <v>45</v>
      </c>
      <c r="F428" s="3">
        <v>3.6</v>
      </c>
      <c r="G428" s="3">
        <f t="shared" ref="G428:G429" si="25">(30+45)/2</f>
        <v>37.5</v>
      </c>
      <c r="H428" s="3">
        <f>(5+7)/2</f>
        <v>6</v>
      </c>
      <c r="I428" s="3"/>
      <c r="J428" s="3">
        <f>(5+8)/2</f>
        <v>6.5</v>
      </c>
      <c r="K428" s="3"/>
      <c r="L428" s="3"/>
      <c r="M428" s="3">
        <v>41</v>
      </c>
      <c r="N428" s="3"/>
    </row>
    <row r="429" spans="2:14" ht="15.75" customHeight="1" x14ac:dyDescent="0.2">
      <c r="B429" s="10" t="s">
        <v>345</v>
      </c>
      <c r="C429" s="10" t="s">
        <v>346</v>
      </c>
      <c r="E429" s="6" t="s">
        <v>46</v>
      </c>
      <c r="F429" s="3">
        <v>2.7</v>
      </c>
      <c r="G429" s="3">
        <f t="shared" si="25"/>
        <v>37.5</v>
      </c>
      <c r="H429" s="3">
        <f>(4+5)/2</f>
        <v>4.5</v>
      </c>
      <c r="I429" s="3"/>
      <c r="J429" s="3">
        <f>(11+15)/2</f>
        <v>13</v>
      </c>
      <c r="K429" s="11"/>
      <c r="L429" s="11"/>
      <c r="M429" s="11"/>
      <c r="N429" s="11"/>
    </row>
    <row r="430" spans="2:14" ht="15.75" customHeight="1" x14ac:dyDescent="0.2">
      <c r="B430" s="10" t="s">
        <v>347</v>
      </c>
      <c r="E430" s="6" t="s">
        <v>45</v>
      </c>
      <c r="F430" s="3">
        <v>1.2</v>
      </c>
      <c r="G430" s="3">
        <v>29</v>
      </c>
      <c r="H430" s="3">
        <v>5</v>
      </c>
      <c r="I430" s="3"/>
      <c r="J430" s="3">
        <v>9</v>
      </c>
      <c r="K430" s="3"/>
      <c r="L430" s="3"/>
      <c r="M430" s="3">
        <v>33</v>
      </c>
      <c r="N430" s="3"/>
    </row>
    <row r="431" spans="2:14" ht="15.75" customHeight="1" x14ac:dyDescent="0.2">
      <c r="B431" s="10" t="s">
        <v>348</v>
      </c>
      <c r="E431" s="6" t="s">
        <v>45</v>
      </c>
      <c r="F431" s="3">
        <v>0.42</v>
      </c>
      <c r="G431" s="3">
        <f>(19+20)/2</f>
        <v>19.5</v>
      </c>
      <c r="H431" s="3">
        <f>(3+3.2)/2</f>
        <v>3.1</v>
      </c>
      <c r="I431" s="3"/>
      <c r="J431" s="3">
        <f>(27+31)/2</f>
        <v>29</v>
      </c>
      <c r="K431" s="3"/>
      <c r="L431" s="3"/>
      <c r="M431" s="3">
        <f>(73+75)/2</f>
        <v>74</v>
      </c>
      <c r="N431" s="3"/>
    </row>
    <row r="432" spans="2:14" ht="15.75" customHeight="1" x14ac:dyDescent="0.2">
      <c r="B432" s="10" t="s">
        <v>349</v>
      </c>
      <c r="E432" s="6" t="s">
        <v>45</v>
      </c>
      <c r="F432" s="3">
        <v>1.5</v>
      </c>
      <c r="G432" s="3">
        <v>31</v>
      </c>
      <c r="H432" s="3">
        <v>4.7</v>
      </c>
      <c r="I432" s="3"/>
      <c r="J432" s="3">
        <v>50</v>
      </c>
      <c r="K432" s="3"/>
      <c r="L432" s="3"/>
      <c r="M432" s="3">
        <v>51</v>
      </c>
      <c r="N432" s="3"/>
    </row>
    <row r="433" spans="2:14" ht="15.75" customHeight="1" x14ac:dyDescent="0.2">
      <c r="B433" s="10" t="s">
        <v>349</v>
      </c>
      <c r="E433" s="6" t="s">
        <v>46</v>
      </c>
      <c r="F433" s="3">
        <v>1.3</v>
      </c>
      <c r="G433" s="3">
        <v>37</v>
      </c>
      <c r="H433" s="3">
        <v>4.7</v>
      </c>
      <c r="I433" s="3"/>
      <c r="J433" s="3">
        <v>52</v>
      </c>
      <c r="K433" s="11"/>
      <c r="L433" s="11"/>
      <c r="M433" s="11"/>
      <c r="N433" s="11"/>
    </row>
    <row r="434" spans="2:14" ht="15.75" customHeight="1" x14ac:dyDescent="0.2">
      <c r="B434" s="10" t="s">
        <v>350</v>
      </c>
      <c r="E434" s="6" t="s">
        <v>45</v>
      </c>
      <c r="F434" s="3">
        <v>0.78</v>
      </c>
      <c r="G434" s="3">
        <v>17</v>
      </c>
      <c r="H434" s="3">
        <v>3.9</v>
      </c>
      <c r="I434" s="3"/>
      <c r="J434" s="3">
        <v>22</v>
      </c>
      <c r="K434" s="3"/>
      <c r="L434" s="3"/>
      <c r="M434" s="3">
        <v>47</v>
      </c>
      <c r="N434" s="3"/>
    </row>
    <row r="435" spans="2:14" ht="15.75" customHeight="1" x14ac:dyDescent="0.2">
      <c r="B435" s="10" t="s">
        <v>351</v>
      </c>
      <c r="E435" s="6" t="s">
        <v>45</v>
      </c>
      <c r="F435" s="3">
        <f>(5+7)/2</f>
        <v>6</v>
      </c>
      <c r="G435" s="3">
        <v>83</v>
      </c>
      <c r="H435" s="3">
        <v>6.6</v>
      </c>
      <c r="I435" s="3"/>
      <c r="J435" s="3">
        <v>18</v>
      </c>
      <c r="K435" s="3"/>
      <c r="L435" s="3"/>
      <c r="M435" s="3">
        <v>25</v>
      </c>
      <c r="N435" s="3"/>
    </row>
    <row r="436" spans="2:14" ht="15.75" customHeight="1" x14ac:dyDescent="0.2">
      <c r="B436" s="10" t="s">
        <v>351</v>
      </c>
      <c r="E436" s="6" t="s">
        <v>46</v>
      </c>
      <c r="F436" s="3">
        <f>(5+6.5)/2</f>
        <v>5.75</v>
      </c>
      <c r="G436" s="3">
        <v>100</v>
      </c>
      <c r="H436" s="3">
        <v>6.6</v>
      </c>
      <c r="I436" s="3"/>
      <c r="J436" s="3">
        <v>250</v>
      </c>
      <c r="K436" s="11"/>
      <c r="L436" s="11"/>
      <c r="M436" s="11"/>
      <c r="N436" s="11"/>
    </row>
    <row r="437" spans="2:14" ht="15.75" customHeight="1" x14ac:dyDescent="0.2">
      <c r="B437" s="10" t="s">
        <v>352</v>
      </c>
      <c r="E437" s="6" t="s">
        <v>45</v>
      </c>
      <c r="F437" s="3">
        <v>3.2</v>
      </c>
      <c r="G437" s="3">
        <v>37</v>
      </c>
      <c r="H437" s="3">
        <v>4.3</v>
      </c>
      <c r="I437" s="3"/>
      <c r="J437" s="3">
        <v>11</v>
      </c>
      <c r="K437" s="3"/>
      <c r="L437" s="3"/>
      <c r="M437" s="3">
        <v>46</v>
      </c>
      <c r="N437" s="3"/>
    </row>
    <row r="438" spans="2:14" ht="15.75" customHeight="1" x14ac:dyDescent="0.2">
      <c r="B438" s="10" t="s">
        <v>353</v>
      </c>
      <c r="E438" s="6" t="s">
        <v>45</v>
      </c>
      <c r="F438" s="3">
        <v>0.71</v>
      </c>
      <c r="G438" s="3">
        <f>(23+26)/2</f>
        <v>24.5</v>
      </c>
      <c r="H438" s="3">
        <v>4</v>
      </c>
      <c r="I438" s="3"/>
      <c r="J438" s="3">
        <v>13</v>
      </c>
      <c r="K438" s="3"/>
      <c r="L438" s="3"/>
      <c r="M438" s="3">
        <v>34</v>
      </c>
      <c r="N438" s="3"/>
    </row>
    <row r="439" spans="2:14" ht="15.75" customHeight="1" x14ac:dyDescent="0.2">
      <c r="B439" s="10" t="s">
        <v>354</v>
      </c>
      <c r="E439" s="6" t="s">
        <v>45</v>
      </c>
      <c r="F439" s="3">
        <f>(1.8+2)/2</f>
        <v>1.9</v>
      </c>
      <c r="G439" s="3">
        <f>(31+32)/2</f>
        <v>31.5</v>
      </c>
      <c r="H439" s="3">
        <f>(3.8+3.9)/2</f>
        <v>3.8499999999999996</v>
      </c>
      <c r="I439" s="3"/>
      <c r="J439" s="3">
        <f>(13+15)/2</f>
        <v>14</v>
      </c>
      <c r="K439" s="3"/>
      <c r="L439" s="3"/>
      <c r="M439" s="3">
        <f>(47+48)/2</f>
        <v>47.5</v>
      </c>
      <c r="N439" s="3"/>
    </row>
    <row r="440" spans="2:14" ht="15.75" customHeight="1" x14ac:dyDescent="0.2">
      <c r="B440" s="10" t="s">
        <v>354</v>
      </c>
      <c r="E440" s="6" t="s">
        <v>46</v>
      </c>
      <c r="F440" s="3">
        <v>1.44</v>
      </c>
      <c r="G440" s="3">
        <v>23</v>
      </c>
      <c r="H440" s="3">
        <v>2.9</v>
      </c>
      <c r="I440" s="3"/>
      <c r="J440" s="3">
        <v>74</v>
      </c>
      <c r="K440" s="11"/>
      <c r="L440" s="11"/>
      <c r="M440" s="11"/>
      <c r="N440" s="11"/>
    </row>
    <row r="441" spans="2:14" ht="15.75" customHeight="1" x14ac:dyDescent="0.2">
      <c r="B441" s="10" t="s">
        <v>355</v>
      </c>
      <c r="C441" s="10" t="s">
        <v>356</v>
      </c>
      <c r="E441" s="6" t="s">
        <v>45</v>
      </c>
      <c r="F441" s="3">
        <v>2.06</v>
      </c>
      <c r="G441" s="3">
        <v>41</v>
      </c>
      <c r="H441" s="3">
        <v>4</v>
      </c>
      <c r="I441" s="3"/>
      <c r="J441" s="3">
        <v>19</v>
      </c>
      <c r="K441" s="3"/>
      <c r="L441" s="3"/>
      <c r="M441" s="3">
        <v>56</v>
      </c>
      <c r="N441" s="3"/>
    </row>
    <row r="442" spans="2:14" ht="15.75" customHeight="1" x14ac:dyDescent="0.2">
      <c r="B442" s="10" t="s">
        <v>355</v>
      </c>
      <c r="C442" s="10" t="s">
        <v>356</v>
      </c>
      <c r="E442" s="6" t="s">
        <v>46</v>
      </c>
      <c r="F442" s="3">
        <v>2.25</v>
      </c>
      <c r="G442" s="3">
        <v>51</v>
      </c>
      <c r="H442" s="3">
        <v>4.8</v>
      </c>
      <c r="I442" s="3"/>
      <c r="J442" s="3">
        <v>24</v>
      </c>
      <c r="K442" s="11"/>
      <c r="L442" s="11"/>
      <c r="M442" s="11"/>
      <c r="N442" s="11"/>
    </row>
    <row r="443" spans="2:14" ht="15.75" customHeight="1" x14ac:dyDescent="0.2">
      <c r="B443" s="10" t="s">
        <v>357</v>
      </c>
      <c r="E443" s="6" t="s">
        <v>45</v>
      </c>
      <c r="F443" s="3">
        <f>(1.4+2)/2</f>
        <v>1.7</v>
      </c>
      <c r="G443" s="3">
        <v>20</v>
      </c>
      <c r="H443" s="3">
        <v>5</v>
      </c>
      <c r="I443" s="3"/>
      <c r="J443" s="3">
        <v>50</v>
      </c>
      <c r="K443" s="3"/>
      <c r="L443" s="3"/>
      <c r="M443" s="3">
        <v>48</v>
      </c>
      <c r="N443" s="3"/>
    </row>
    <row r="444" spans="2:14" ht="15.75" customHeight="1" x14ac:dyDescent="0.2">
      <c r="B444" s="10" t="s">
        <v>357</v>
      </c>
      <c r="E444" s="6" t="s">
        <v>46</v>
      </c>
      <c r="F444" s="3">
        <v>1.8</v>
      </c>
      <c r="G444" s="3">
        <v>40</v>
      </c>
      <c r="H444" s="3">
        <v>5</v>
      </c>
      <c r="I444" s="3"/>
      <c r="J444" s="3">
        <v>60</v>
      </c>
      <c r="K444" s="11"/>
      <c r="L444" s="11"/>
      <c r="M444" s="11"/>
      <c r="N444" s="11"/>
    </row>
    <row r="445" spans="2:14" ht="15.75" customHeight="1" x14ac:dyDescent="0.2">
      <c r="B445" s="10" t="s">
        <v>358</v>
      </c>
      <c r="E445" s="6" t="s">
        <v>45</v>
      </c>
      <c r="F445" s="3">
        <v>1.2</v>
      </c>
      <c r="G445" s="3">
        <v>29</v>
      </c>
      <c r="H445" s="3">
        <v>4</v>
      </c>
      <c r="I445" s="3"/>
      <c r="J445" s="3">
        <v>58</v>
      </c>
      <c r="K445" s="3"/>
      <c r="L445" s="3"/>
      <c r="M445" s="3">
        <v>57</v>
      </c>
      <c r="N445" s="3"/>
    </row>
    <row r="446" spans="2:14" ht="15.75" customHeight="1" x14ac:dyDescent="0.2">
      <c r="B446" s="10" t="s">
        <v>359</v>
      </c>
      <c r="E446" s="6" t="s">
        <v>45</v>
      </c>
      <c r="F446" s="3">
        <v>1.5</v>
      </c>
      <c r="G446" s="3">
        <v>26</v>
      </c>
      <c r="H446" s="3">
        <v>3.5</v>
      </c>
      <c r="I446" s="3"/>
      <c r="J446" s="3">
        <v>100</v>
      </c>
      <c r="K446" s="3"/>
      <c r="L446" s="3"/>
      <c r="M446" s="3">
        <v>49</v>
      </c>
      <c r="N446" s="3"/>
    </row>
    <row r="447" spans="2:14" ht="15.75" customHeight="1" x14ac:dyDescent="0.2">
      <c r="B447" s="10" t="s">
        <v>360</v>
      </c>
      <c r="E447" s="6" t="s">
        <v>45</v>
      </c>
      <c r="F447" s="3">
        <v>1</v>
      </c>
      <c r="G447" s="3">
        <v>31</v>
      </c>
      <c r="H447" s="3">
        <v>4.7</v>
      </c>
      <c r="I447" s="3"/>
      <c r="J447" s="3">
        <v>63</v>
      </c>
      <c r="K447" s="3"/>
      <c r="L447" s="3"/>
      <c r="M447" s="3">
        <v>56</v>
      </c>
      <c r="N447" s="3"/>
    </row>
    <row r="448" spans="2:14" ht="15.75" customHeight="1" x14ac:dyDescent="0.2">
      <c r="B448" s="10" t="s">
        <v>360</v>
      </c>
      <c r="E448" s="6" t="s">
        <v>46</v>
      </c>
      <c r="F448" s="3">
        <v>1</v>
      </c>
      <c r="G448" s="3">
        <v>33</v>
      </c>
      <c r="H448" s="3">
        <v>4.3</v>
      </c>
      <c r="I448" s="3"/>
      <c r="J448" s="3">
        <v>63</v>
      </c>
      <c r="K448" s="11"/>
      <c r="L448" s="11"/>
      <c r="M448" s="11"/>
      <c r="N448" s="11"/>
    </row>
    <row r="449" spans="2:14" ht="15.75" customHeight="1" x14ac:dyDescent="0.2">
      <c r="B449" s="10" t="s">
        <v>361</v>
      </c>
      <c r="E449" s="6" t="s">
        <v>45</v>
      </c>
      <c r="F449" s="3">
        <v>1.6</v>
      </c>
      <c r="G449" s="3">
        <f>(24+28)/2</f>
        <v>26</v>
      </c>
      <c r="H449" s="3">
        <f>(4.5+5)/2</f>
        <v>4.75</v>
      </c>
      <c r="I449" s="3"/>
      <c r="J449" s="3">
        <f>(62+77)/2</f>
        <v>69.5</v>
      </c>
      <c r="K449" s="3"/>
      <c r="L449" s="3"/>
      <c r="M449" s="3">
        <v>42</v>
      </c>
      <c r="N449" s="3"/>
    </row>
    <row r="450" spans="2:14" ht="15.75" customHeight="1" x14ac:dyDescent="0.2">
      <c r="B450" s="10" t="s">
        <v>361</v>
      </c>
      <c r="E450" s="6" t="s">
        <v>46</v>
      </c>
      <c r="F450" s="3">
        <v>1.5</v>
      </c>
      <c r="G450" s="3">
        <v>28</v>
      </c>
      <c r="H450" s="3">
        <v>5</v>
      </c>
      <c r="I450" s="3"/>
      <c r="J450" s="3">
        <v>67</v>
      </c>
      <c r="K450" s="11"/>
      <c r="L450" s="11"/>
      <c r="M450" s="11"/>
      <c r="N450" s="11"/>
    </row>
    <row r="451" spans="2:14" ht="15.75" customHeight="1" x14ac:dyDescent="0.2">
      <c r="B451" s="10" t="s">
        <v>362</v>
      </c>
      <c r="E451" s="6" t="s">
        <v>45</v>
      </c>
      <c r="F451" s="3">
        <v>0.64</v>
      </c>
      <c r="G451" s="3">
        <v>25</v>
      </c>
      <c r="H451" s="3">
        <v>3.2</v>
      </c>
      <c r="I451" s="3"/>
      <c r="J451" s="3">
        <v>5.3</v>
      </c>
      <c r="K451" s="3"/>
      <c r="L451" s="3"/>
      <c r="M451" s="3">
        <v>55</v>
      </c>
      <c r="N451" s="3"/>
    </row>
    <row r="452" spans="2:14" ht="15.75" customHeight="1" x14ac:dyDescent="0.2">
      <c r="B452" s="10" t="s">
        <v>363</v>
      </c>
      <c r="E452" s="6" t="s">
        <v>45</v>
      </c>
      <c r="F452" s="3">
        <f>(5.2+8.22)/2</f>
        <v>6.7100000000000009</v>
      </c>
      <c r="G452" s="3">
        <f>(60+82)/2</f>
        <v>71</v>
      </c>
      <c r="H452" s="3">
        <f>(10+16)/2</f>
        <v>13</v>
      </c>
      <c r="I452" s="3"/>
      <c r="J452" s="3">
        <f>(83+125)/2</f>
        <v>104</v>
      </c>
      <c r="K452" s="3"/>
      <c r="L452" s="3"/>
      <c r="M452" s="3">
        <f>(48+56)/2</f>
        <v>52</v>
      </c>
      <c r="N452" s="3"/>
    </row>
    <row r="453" spans="2:14" ht="15.75" customHeight="1" x14ac:dyDescent="0.2">
      <c r="B453" s="10" t="s">
        <v>363</v>
      </c>
      <c r="E453" s="6" t="s">
        <v>46</v>
      </c>
      <c r="F453" s="3">
        <f>(5.9+7.5)/2</f>
        <v>6.7</v>
      </c>
      <c r="G453" s="3">
        <f>(62+83)/2</f>
        <v>72.5</v>
      </c>
      <c r="H453" s="3">
        <f>(11+16)/2</f>
        <v>13.5</v>
      </c>
      <c r="I453" s="3"/>
      <c r="J453" s="3">
        <f>(76+124)/2</f>
        <v>100</v>
      </c>
      <c r="K453" s="11"/>
      <c r="L453" s="11"/>
      <c r="M453" s="11"/>
      <c r="N453" s="11"/>
    </row>
    <row r="454" spans="2:14" ht="15.75" customHeight="1" x14ac:dyDescent="0.2">
      <c r="B454" s="10" t="s">
        <v>364</v>
      </c>
      <c r="E454" s="6" t="s">
        <v>45</v>
      </c>
      <c r="F454" s="3">
        <f>(2.1+2.5)/2</f>
        <v>2.2999999999999998</v>
      </c>
      <c r="G454" s="3">
        <f>(62+66)/2</f>
        <v>64</v>
      </c>
      <c r="H454" s="3">
        <f>(5+5.5)/2</f>
        <v>5.25</v>
      </c>
      <c r="I454" s="3"/>
      <c r="J454" s="3">
        <f>(31+32)/2</f>
        <v>31.5</v>
      </c>
      <c r="K454" s="3"/>
      <c r="L454" s="3"/>
      <c r="M454" s="3">
        <f>(28+29)/2</f>
        <v>28.5</v>
      </c>
      <c r="N454" s="3"/>
    </row>
    <row r="455" spans="2:14" ht="15.75" customHeight="1" x14ac:dyDescent="0.2">
      <c r="B455" s="10" t="s">
        <v>364</v>
      </c>
      <c r="E455" s="6" t="s">
        <v>46</v>
      </c>
      <c r="F455" s="3">
        <v>2.1</v>
      </c>
      <c r="G455" s="3">
        <v>46</v>
      </c>
      <c r="H455" s="3">
        <v>5.9</v>
      </c>
      <c r="I455" s="3"/>
      <c r="J455" s="3">
        <v>49</v>
      </c>
      <c r="K455" s="11"/>
      <c r="L455" s="11"/>
      <c r="M455" s="11"/>
      <c r="N455" s="11"/>
    </row>
    <row r="456" spans="2:14" ht="15.75" customHeight="1" x14ac:dyDescent="0.2">
      <c r="B456" s="10" t="s">
        <v>365</v>
      </c>
      <c r="E456" s="6" t="s">
        <v>45</v>
      </c>
      <c r="F456" s="3">
        <v>0.55000000000000004</v>
      </c>
      <c r="G456" s="3">
        <v>19</v>
      </c>
      <c r="H456" s="3">
        <v>14</v>
      </c>
      <c r="I456" s="3"/>
      <c r="J456" s="3">
        <v>18</v>
      </c>
      <c r="K456" s="3"/>
      <c r="L456" s="3"/>
      <c r="M456" s="3">
        <v>60</v>
      </c>
      <c r="N456" s="3"/>
    </row>
    <row r="457" spans="2:14" ht="15.75" customHeight="1" x14ac:dyDescent="0.2">
      <c r="B457" s="10" t="s">
        <v>366</v>
      </c>
      <c r="E457" s="6" t="s">
        <v>45</v>
      </c>
      <c r="F457" s="3">
        <f>(1.94+2.32)/2</f>
        <v>2.13</v>
      </c>
      <c r="G457" s="3">
        <f>(36+42)/2</f>
        <v>39</v>
      </c>
      <c r="H457" s="3">
        <f>(7.9+8.3)/2</f>
        <v>8.1000000000000014</v>
      </c>
      <c r="I457" s="3"/>
      <c r="J457" s="3">
        <f>(78+85)/2</f>
        <v>81.5</v>
      </c>
      <c r="K457" s="3"/>
      <c r="L457" s="3"/>
      <c r="M457" s="3">
        <f>(48+53)/2</f>
        <v>50.5</v>
      </c>
      <c r="N457" s="3"/>
    </row>
    <row r="458" spans="2:14" ht="15.75" customHeight="1" x14ac:dyDescent="0.2">
      <c r="B458" s="10" t="s">
        <v>366</v>
      </c>
      <c r="E458" s="6" t="s">
        <v>46</v>
      </c>
      <c r="F458" s="3">
        <f>(1.91+2.03)/2</f>
        <v>1.9699999999999998</v>
      </c>
      <c r="G458" s="3">
        <f>(35+38)/2</f>
        <v>36.5</v>
      </c>
      <c r="H458" s="3">
        <f>(6.6+8.1)/2</f>
        <v>7.35</v>
      </c>
      <c r="I458" s="3"/>
      <c r="J458" s="3">
        <f>(58+65)/2</f>
        <v>61.5</v>
      </c>
      <c r="K458" s="11"/>
      <c r="L458" s="11"/>
      <c r="M458" s="11"/>
      <c r="N458" s="11"/>
    </row>
    <row r="459" spans="2:14" ht="15.75" customHeight="1" x14ac:dyDescent="0.2">
      <c r="B459" s="10" t="s">
        <v>367</v>
      </c>
      <c r="E459" s="6" t="s">
        <v>45</v>
      </c>
      <c r="F459" s="3">
        <v>4.5</v>
      </c>
      <c r="G459" s="3">
        <v>62</v>
      </c>
      <c r="H459" s="3">
        <v>10.6</v>
      </c>
      <c r="I459" s="3"/>
      <c r="J459" s="3">
        <v>10</v>
      </c>
      <c r="K459" s="3"/>
      <c r="L459" s="3"/>
      <c r="M459" s="3">
        <v>40</v>
      </c>
      <c r="N459" s="3"/>
    </row>
    <row r="460" spans="2:14" ht="15.75" customHeight="1" x14ac:dyDescent="0.2">
      <c r="B460" s="10" t="s">
        <v>367</v>
      </c>
      <c r="E460" s="6" t="s">
        <v>46</v>
      </c>
      <c r="F460" s="3">
        <v>5.3</v>
      </c>
      <c r="G460" s="3">
        <v>79</v>
      </c>
      <c r="H460" s="3">
        <v>12</v>
      </c>
      <c r="I460" s="3"/>
      <c r="J460" s="3">
        <v>105</v>
      </c>
      <c r="K460" s="11"/>
      <c r="L460" s="11"/>
      <c r="M460" s="11"/>
      <c r="N460" s="11"/>
    </row>
    <row r="461" spans="2:14" ht="15.75" customHeight="1" x14ac:dyDescent="0.2">
      <c r="B461" s="10" t="s">
        <v>368</v>
      </c>
      <c r="E461" s="6" t="s">
        <v>45</v>
      </c>
      <c r="F461" s="3">
        <v>0.6</v>
      </c>
      <c r="G461" s="3">
        <v>17</v>
      </c>
      <c r="H461" s="3">
        <v>3.3</v>
      </c>
      <c r="I461" s="3"/>
      <c r="J461" s="3">
        <v>25</v>
      </c>
      <c r="K461" s="3"/>
      <c r="L461" s="3"/>
      <c r="M461" s="3">
        <v>56</v>
      </c>
      <c r="N461" s="3"/>
    </row>
    <row r="462" spans="2:14" ht="15.75" customHeight="1" x14ac:dyDescent="0.2">
      <c r="B462" s="10" t="s">
        <v>369</v>
      </c>
      <c r="C462" s="10" t="s">
        <v>370</v>
      </c>
      <c r="E462" s="6" t="s">
        <v>45</v>
      </c>
      <c r="F462" s="3">
        <f>(0.75+0.79)/2</f>
        <v>0.77</v>
      </c>
      <c r="G462" s="3">
        <f>(31+35)/2</f>
        <v>33</v>
      </c>
      <c r="H462" s="3">
        <f>(4.2+4.4)/2</f>
        <v>4.3000000000000007</v>
      </c>
      <c r="I462" s="3"/>
      <c r="J462" s="3">
        <f>(23+25)/2</f>
        <v>24</v>
      </c>
      <c r="K462" s="3"/>
      <c r="L462" s="3"/>
      <c r="M462" s="3">
        <f>(52+54)/2</f>
        <v>53</v>
      </c>
      <c r="N462" s="3"/>
    </row>
    <row r="463" spans="2:14" ht="15.75" customHeight="1" x14ac:dyDescent="0.2">
      <c r="B463" s="10" t="s">
        <v>371</v>
      </c>
      <c r="C463" s="10" t="s">
        <v>372</v>
      </c>
      <c r="E463" s="10" t="s">
        <v>373</v>
      </c>
      <c r="F463" s="11">
        <v>0.97</v>
      </c>
      <c r="G463" s="11">
        <v>34</v>
      </c>
      <c r="H463" s="11">
        <v>4.0999999999999996</v>
      </c>
      <c r="I463" s="11"/>
      <c r="J463" s="11">
        <v>28</v>
      </c>
      <c r="K463" s="11"/>
      <c r="L463" s="11"/>
      <c r="M463" s="11"/>
      <c r="N463" s="11"/>
    </row>
    <row r="464" spans="2:14" ht="15.75" customHeight="1" x14ac:dyDescent="0.2">
      <c r="B464" s="10" t="s">
        <v>374</v>
      </c>
      <c r="E464" s="6" t="s">
        <v>45</v>
      </c>
      <c r="F464" s="3">
        <v>2.1</v>
      </c>
      <c r="G464" s="3">
        <v>45</v>
      </c>
      <c r="H464" s="3">
        <v>5</v>
      </c>
      <c r="I464" s="3"/>
      <c r="J464" s="3">
        <v>100</v>
      </c>
      <c r="K464" s="3"/>
      <c r="L464" s="3"/>
      <c r="M464" s="3">
        <v>34</v>
      </c>
      <c r="N464" s="3"/>
    </row>
    <row r="465" spans="2:14" ht="15.75" customHeight="1" x14ac:dyDescent="0.2">
      <c r="B465" s="10" t="s">
        <v>374</v>
      </c>
      <c r="E465" s="6" t="s">
        <v>46</v>
      </c>
      <c r="F465" s="3">
        <v>2.1</v>
      </c>
      <c r="G465" s="3">
        <v>45</v>
      </c>
      <c r="H465" s="3">
        <v>5</v>
      </c>
      <c r="I465" s="3"/>
      <c r="J465" s="3">
        <v>83</v>
      </c>
      <c r="K465" s="11"/>
      <c r="L465" s="11"/>
      <c r="M465" s="11"/>
      <c r="N465" s="11"/>
    </row>
    <row r="466" spans="2:14" ht="15.75" customHeight="1" x14ac:dyDescent="0.2">
      <c r="B466" s="10" t="s">
        <v>375</v>
      </c>
      <c r="E466" s="6" t="s">
        <v>45</v>
      </c>
      <c r="F466" s="3">
        <v>1.5</v>
      </c>
      <c r="G466" s="3">
        <v>35</v>
      </c>
      <c r="H466" s="3">
        <f>(2+2.5)/2</f>
        <v>2.25</v>
      </c>
      <c r="I466" s="3"/>
      <c r="J466" s="3">
        <v>71</v>
      </c>
      <c r="K466" s="3"/>
      <c r="L466" s="3"/>
      <c r="M466" s="3">
        <v>54</v>
      </c>
      <c r="N466" s="3"/>
    </row>
    <row r="467" spans="2:14" ht="15.75" customHeight="1" x14ac:dyDescent="0.2">
      <c r="B467" s="10" t="s">
        <v>376</v>
      </c>
      <c r="E467" s="6" t="s">
        <v>45</v>
      </c>
      <c r="F467" s="3">
        <v>2.2999999999999998</v>
      </c>
      <c r="G467" s="3">
        <f>(40+50)/2</f>
        <v>45</v>
      </c>
      <c r="H467" s="3">
        <f>(6+7)/2</f>
        <v>6.5</v>
      </c>
      <c r="I467" s="3"/>
      <c r="J467" s="3">
        <f>(4.3+5)/2</f>
        <v>4.6500000000000004</v>
      </c>
      <c r="K467" s="3"/>
      <c r="L467" s="3"/>
      <c r="M467" s="3">
        <v>38</v>
      </c>
      <c r="N467" s="3"/>
    </row>
    <row r="468" spans="2:14" ht="15.75" customHeight="1" x14ac:dyDescent="0.2">
      <c r="B468" s="10" t="s">
        <v>376</v>
      </c>
      <c r="E468" s="6" t="s">
        <v>46</v>
      </c>
      <c r="F468" s="3">
        <v>2.2999999999999998</v>
      </c>
      <c r="G468" s="3">
        <v>55</v>
      </c>
      <c r="H468" s="3">
        <v>7.1</v>
      </c>
      <c r="I468" s="3"/>
      <c r="J468" s="3">
        <v>4.5</v>
      </c>
      <c r="K468" s="11"/>
      <c r="L468" s="11"/>
      <c r="M468" s="11"/>
      <c r="N468" s="11"/>
    </row>
    <row r="469" spans="2:14" ht="15.75" customHeight="1" x14ac:dyDescent="0.2">
      <c r="B469" s="10" t="s">
        <v>377</v>
      </c>
      <c r="E469" s="6" t="s">
        <v>45</v>
      </c>
      <c r="F469" s="3">
        <v>1.1000000000000001</v>
      </c>
      <c r="G469" s="3">
        <v>36</v>
      </c>
      <c r="H469" s="3">
        <v>6.6</v>
      </c>
      <c r="I469" s="3"/>
      <c r="J469" s="3">
        <f>(5+6)/2</f>
        <v>5.5</v>
      </c>
      <c r="K469" s="3"/>
      <c r="L469" s="3"/>
      <c r="M469" s="3">
        <v>46</v>
      </c>
      <c r="N469" s="3"/>
    </row>
    <row r="470" spans="2:14" ht="15.75" customHeight="1" x14ac:dyDescent="0.2">
      <c r="B470" s="10" t="s">
        <v>378</v>
      </c>
      <c r="C470" s="10" t="s">
        <v>379</v>
      </c>
      <c r="E470" s="6" t="s">
        <v>45</v>
      </c>
      <c r="F470" s="3">
        <f>(0.8+0.84)/2</f>
        <v>0.82000000000000006</v>
      </c>
      <c r="G470" s="3">
        <f>(37+39)/2</f>
        <v>38</v>
      </c>
      <c r="H470" s="3">
        <f>(3.2+3.4)/2</f>
        <v>3.3</v>
      </c>
      <c r="I470" s="3"/>
      <c r="J470" s="3">
        <f>(26+27)/2</f>
        <v>26.5</v>
      </c>
      <c r="K470" s="3"/>
      <c r="L470" s="3"/>
      <c r="M470" s="3">
        <f>(55+59)/2</f>
        <v>57</v>
      </c>
      <c r="N470" s="3"/>
    </row>
    <row r="471" spans="2:14" ht="15.75" customHeight="1" x14ac:dyDescent="0.2">
      <c r="B471" s="10" t="s">
        <v>378</v>
      </c>
      <c r="C471" s="10" t="s">
        <v>379</v>
      </c>
      <c r="E471" s="6" t="s">
        <v>46</v>
      </c>
      <c r="F471" s="3">
        <v>0.88</v>
      </c>
      <c r="G471" s="3">
        <v>39</v>
      </c>
      <c r="H471" s="3">
        <v>4.5</v>
      </c>
      <c r="I471" s="3"/>
      <c r="J471" s="3">
        <v>31</v>
      </c>
      <c r="K471" s="11"/>
      <c r="L471" s="11"/>
      <c r="M471" s="11"/>
      <c r="N471" s="11"/>
    </row>
    <row r="472" spans="2:14" ht="15.75" customHeight="1" x14ac:dyDescent="0.2">
      <c r="B472" s="10" t="s">
        <v>380</v>
      </c>
      <c r="C472" s="10" t="s">
        <v>381</v>
      </c>
      <c r="E472" s="6" t="s">
        <v>45</v>
      </c>
      <c r="F472" s="3">
        <f>(2.5+3.7)/2</f>
        <v>3.1</v>
      </c>
      <c r="G472" s="3">
        <v>37</v>
      </c>
      <c r="H472" s="3">
        <v>4</v>
      </c>
      <c r="I472" s="3"/>
      <c r="J472" s="3">
        <v>67</v>
      </c>
      <c r="K472" s="3"/>
      <c r="L472" s="3"/>
      <c r="M472" s="3">
        <v>51</v>
      </c>
      <c r="N472" s="3"/>
    </row>
    <row r="473" spans="2:14" ht="15.75" customHeight="1" x14ac:dyDescent="0.2">
      <c r="B473" s="10" t="s">
        <v>380</v>
      </c>
      <c r="C473" s="10" t="s">
        <v>381</v>
      </c>
      <c r="E473" s="6" t="s">
        <v>46</v>
      </c>
      <c r="F473" s="3">
        <v>2.9</v>
      </c>
      <c r="G473" s="3">
        <v>41</v>
      </c>
      <c r="H473" s="3">
        <v>4</v>
      </c>
      <c r="I473" s="3"/>
      <c r="J473" s="3">
        <v>63</v>
      </c>
      <c r="K473" s="11"/>
      <c r="L473" s="11"/>
      <c r="M473" s="11"/>
      <c r="N473" s="11"/>
    </row>
    <row r="474" spans="2:14" ht="15.75" customHeight="1" x14ac:dyDescent="0.2">
      <c r="B474" s="10" t="s">
        <v>382</v>
      </c>
      <c r="E474" s="6" t="s">
        <v>45</v>
      </c>
      <c r="F474" s="3">
        <f>(6+10)/2</f>
        <v>8</v>
      </c>
      <c r="G474" s="3">
        <v>59</v>
      </c>
      <c r="H474" s="3">
        <v>6.3</v>
      </c>
      <c r="I474" s="3"/>
      <c r="J474" s="3">
        <v>143</v>
      </c>
      <c r="K474" s="3"/>
      <c r="L474" s="3"/>
      <c r="M474" s="3">
        <v>52</v>
      </c>
      <c r="N474" s="3"/>
    </row>
    <row r="475" spans="2:14" ht="15.75" customHeight="1" x14ac:dyDescent="0.2">
      <c r="B475" s="10" t="s">
        <v>383</v>
      </c>
      <c r="E475" s="6" t="s">
        <v>46</v>
      </c>
      <c r="F475" s="3">
        <v>9.9</v>
      </c>
      <c r="G475" s="3">
        <v>80</v>
      </c>
      <c r="H475" s="3">
        <v>5.9</v>
      </c>
      <c r="I475" s="3"/>
      <c r="J475" s="3">
        <v>155</v>
      </c>
      <c r="K475" s="11"/>
      <c r="L475" s="11"/>
      <c r="M475" s="11"/>
      <c r="N475" s="11"/>
    </row>
    <row r="476" spans="2:14" ht="15.75" customHeight="1" x14ac:dyDescent="0.2">
      <c r="B476" s="10" t="s">
        <v>384</v>
      </c>
      <c r="E476" s="6" t="s">
        <v>45</v>
      </c>
      <c r="F476" s="3">
        <v>1</v>
      </c>
      <c r="G476" s="3">
        <v>37</v>
      </c>
      <c r="H476" s="3">
        <v>3.3</v>
      </c>
      <c r="I476" s="3"/>
      <c r="J476" s="3">
        <v>11</v>
      </c>
      <c r="K476" s="3"/>
      <c r="L476" s="3"/>
      <c r="M476" s="3">
        <v>38</v>
      </c>
      <c r="N476" s="3"/>
    </row>
    <row r="477" spans="2:14" ht="15.75" customHeight="1" x14ac:dyDescent="0.2">
      <c r="B477" s="10" t="s">
        <v>385</v>
      </c>
      <c r="E477" s="6" t="s">
        <v>45</v>
      </c>
      <c r="F477" s="3">
        <f>(2.8+3.1)/2</f>
        <v>2.95</v>
      </c>
      <c r="G477" s="3">
        <f>(61+62)/2</f>
        <v>61.5</v>
      </c>
      <c r="H477" s="3">
        <f>(4+4.2)/2</f>
        <v>4.0999999999999996</v>
      </c>
      <c r="I477" s="3"/>
      <c r="J477" s="3">
        <f>(48+53)/2</f>
        <v>50.5</v>
      </c>
      <c r="K477" s="3"/>
      <c r="L477" s="3"/>
      <c r="M477" s="3">
        <f>(54+55)/2</f>
        <v>54.5</v>
      </c>
      <c r="N477" s="3"/>
    </row>
    <row r="478" spans="2:14" ht="15.75" customHeight="1" x14ac:dyDescent="0.2">
      <c r="B478" s="10" t="s">
        <v>386</v>
      </c>
      <c r="E478" s="6" t="s">
        <v>45</v>
      </c>
      <c r="F478" s="3">
        <v>1.2</v>
      </c>
      <c r="G478" s="3">
        <v>30</v>
      </c>
      <c r="H478" s="3">
        <v>5.5</v>
      </c>
      <c r="I478" s="3"/>
      <c r="J478" s="3">
        <v>92</v>
      </c>
      <c r="K478" s="3"/>
      <c r="L478" s="3"/>
      <c r="M478" s="3">
        <v>60</v>
      </c>
      <c r="N478" s="3"/>
    </row>
    <row r="479" spans="2:14" ht="15.75" customHeight="1" x14ac:dyDescent="0.2">
      <c r="B479" s="10" t="s">
        <v>386</v>
      </c>
      <c r="E479" s="6" t="s">
        <v>46</v>
      </c>
      <c r="F479" s="3">
        <v>1.2</v>
      </c>
      <c r="G479" s="3">
        <v>30</v>
      </c>
      <c r="H479" s="3">
        <v>5.6</v>
      </c>
      <c r="I479" s="3"/>
      <c r="J479" s="3">
        <v>50</v>
      </c>
      <c r="K479" s="11"/>
      <c r="L479" s="11"/>
      <c r="M479" s="11"/>
      <c r="N479" s="11"/>
    </row>
    <row r="480" spans="2:14" ht="15.75" customHeight="1" x14ac:dyDescent="0.2">
      <c r="B480" s="10" t="s">
        <v>387</v>
      </c>
      <c r="E480" s="6" t="s">
        <v>45</v>
      </c>
      <c r="F480" s="3">
        <f>(1.2+1.3)/2</f>
        <v>1.25</v>
      </c>
      <c r="G480" s="3">
        <f>(27+33)/2</f>
        <v>30</v>
      </c>
      <c r="H480" s="3">
        <f>(5.8+6.3)/2</f>
        <v>6.05</v>
      </c>
      <c r="I480" s="3"/>
      <c r="J480" s="3">
        <v>72</v>
      </c>
      <c r="K480" s="3"/>
      <c r="L480" s="3"/>
      <c r="M480" s="3">
        <f>(57+58)/2</f>
        <v>57.5</v>
      </c>
      <c r="N480" s="3"/>
    </row>
    <row r="481" spans="2:14" ht="15.75" customHeight="1" x14ac:dyDescent="0.2">
      <c r="B481" s="10" t="s">
        <v>388</v>
      </c>
      <c r="E481" s="6" t="s">
        <v>45</v>
      </c>
      <c r="F481" s="3">
        <f>(1.2+1.8)/2</f>
        <v>1.5</v>
      </c>
      <c r="G481" s="3">
        <v>36</v>
      </c>
      <c r="H481" s="3">
        <v>6.7</v>
      </c>
      <c r="I481" s="3"/>
      <c r="J481" s="3">
        <v>59</v>
      </c>
      <c r="K481" s="3"/>
      <c r="L481" s="3"/>
      <c r="M481" s="3">
        <v>44</v>
      </c>
      <c r="N481" s="3"/>
    </row>
    <row r="482" spans="2:14" ht="15.75" customHeight="1" x14ac:dyDescent="0.2">
      <c r="B482" s="10" t="s">
        <v>388</v>
      </c>
      <c r="E482" s="6" t="s">
        <v>46</v>
      </c>
      <c r="F482" s="3">
        <v>1</v>
      </c>
      <c r="G482" s="3">
        <v>36</v>
      </c>
      <c r="H482" s="3">
        <f>(5+6)/2</f>
        <v>5.5</v>
      </c>
      <c r="I482" s="3"/>
      <c r="J482" s="3">
        <v>50</v>
      </c>
      <c r="K482" s="11"/>
      <c r="L482" s="11"/>
      <c r="M482" s="11"/>
      <c r="N482" s="11"/>
    </row>
    <row r="483" spans="2:14" ht="15.75" customHeight="1" x14ac:dyDescent="0.2">
      <c r="B483" s="10" t="s">
        <v>389</v>
      </c>
      <c r="E483" s="6" t="s">
        <v>45</v>
      </c>
      <c r="F483" s="3">
        <v>0.9</v>
      </c>
      <c r="G483" s="3">
        <v>32</v>
      </c>
      <c r="H483" s="3">
        <v>5.2</v>
      </c>
      <c r="I483" s="3"/>
      <c r="J483" s="3">
        <v>35</v>
      </c>
      <c r="K483" s="3"/>
      <c r="L483" s="3"/>
      <c r="M483" s="3">
        <v>31</v>
      </c>
      <c r="N483" s="3"/>
    </row>
    <row r="484" spans="2:14" ht="15.75" customHeight="1" x14ac:dyDescent="0.2">
      <c r="B484" s="10" t="s">
        <v>389</v>
      </c>
      <c r="E484" s="6" t="s">
        <v>46</v>
      </c>
      <c r="F484" s="3">
        <v>0.8</v>
      </c>
      <c r="G484" s="3">
        <v>35</v>
      </c>
      <c r="H484" s="3">
        <v>5.2</v>
      </c>
      <c r="I484" s="3"/>
      <c r="J484" s="3">
        <v>46</v>
      </c>
      <c r="K484" s="11"/>
      <c r="L484" s="11"/>
      <c r="M484" s="11"/>
      <c r="N484" s="11"/>
    </row>
    <row r="485" spans="2:14" ht="15.75" customHeight="1" x14ac:dyDescent="0.2">
      <c r="B485" s="10" t="s">
        <v>390</v>
      </c>
      <c r="E485" s="6" t="s">
        <v>45</v>
      </c>
      <c r="F485" s="3">
        <v>1.2</v>
      </c>
      <c r="G485" s="3">
        <v>23</v>
      </c>
      <c r="H485" s="3">
        <v>7</v>
      </c>
      <c r="I485" s="3"/>
      <c r="J485" s="3">
        <v>57</v>
      </c>
      <c r="K485" s="3"/>
      <c r="L485" s="3"/>
      <c r="M485" s="3">
        <v>30</v>
      </c>
      <c r="N485" s="3"/>
    </row>
    <row r="486" spans="2:14" ht="15.75" customHeight="1" x14ac:dyDescent="0.2">
      <c r="B486" s="10" t="s">
        <v>390</v>
      </c>
      <c r="E486" s="6" t="s">
        <v>46</v>
      </c>
      <c r="F486" s="3">
        <v>1.2</v>
      </c>
      <c r="G486" s="3">
        <v>22</v>
      </c>
      <c r="H486" s="3">
        <v>6.5</v>
      </c>
      <c r="I486" s="3"/>
      <c r="J486" s="3">
        <f>(40+50)/2</f>
        <v>45</v>
      </c>
      <c r="K486" s="11"/>
      <c r="L486" s="11"/>
      <c r="M486" s="11"/>
      <c r="N486" s="11"/>
    </row>
    <row r="487" spans="2:14" ht="15.75" customHeight="1" x14ac:dyDescent="0.2">
      <c r="B487" s="10" t="s">
        <v>391</v>
      </c>
      <c r="E487" s="6" t="s">
        <v>45</v>
      </c>
      <c r="F487" s="3">
        <v>1.1299999999999999</v>
      </c>
      <c r="G487" s="3">
        <v>26</v>
      </c>
      <c r="H487" s="3">
        <v>5.5</v>
      </c>
      <c r="I487" s="3"/>
      <c r="J487" s="3">
        <v>30</v>
      </c>
      <c r="K487" s="3"/>
      <c r="L487" s="3"/>
      <c r="M487" s="3">
        <v>54.4</v>
      </c>
      <c r="N487" s="3"/>
    </row>
    <row r="488" spans="2:14" ht="15.75" customHeight="1" x14ac:dyDescent="0.2">
      <c r="B488" s="10" t="s">
        <v>392</v>
      </c>
      <c r="E488" s="6" t="s">
        <v>45</v>
      </c>
      <c r="F488" s="3">
        <v>0.6</v>
      </c>
      <c r="G488" s="3">
        <v>22</v>
      </c>
      <c r="H488" s="3">
        <v>2.9</v>
      </c>
      <c r="I488" s="3"/>
      <c r="J488" s="3">
        <f>(6.8+7.3)/2</f>
        <v>7.05</v>
      </c>
      <c r="K488" s="3"/>
      <c r="L488" s="3"/>
      <c r="M488" s="3">
        <v>56</v>
      </c>
      <c r="N488" s="3"/>
    </row>
    <row r="489" spans="2:14" ht="15.75" customHeight="1" x14ac:dyDescent="0.2">
      <c r="B489" s="10" t="s">
        <v>393</v>
      </c>
      <c r="E489" s="6" t="s">
        <v>45</v>
      </c>
      <c r="F489" s="3">
        <v>1</v>
      </c>
      <c r="G489" s="3">
        <v>28</v>
      </c>
      <c r="H489" s="3">
        <v>4.5</v>
      </c>
      <c r="I489" s="3"/>
      <c r="J489" s="3">
        <f>(60+80)/2</f>
        <v>70</v>
      </c>
      <c r="K489" s="3"/>
      <c r="L489" s="3"/>
      <c r="M489" s="3">
        <v>36</v>
      </c>
      <c r="N489" s="3"/>
    </row>
    <row r="490" spans="2:14" ht="15.75" customHeight="1" x14ac:dyDescent="0.2">
      <c r="B490" s="10" t="s">
        <v>394</v>
      </c>
      <c r="E490" s="6" t="s">
        <v>45</v>
      </c>
      <c r="F490" s="3">
        <v>1.5</v>
      </c>
      <c r="G490" s="3">
        <v>40</v>
      </c>
      <c r="H490" s="3">
        <v>6.25</v>
      </c>
      <c r="I490" s="3"/>
      <c r="J490" s="3">
        <v>5.2</v>
      </c>
      <c r="K490" s="3"/>
      <c r="L490" s="3"/>
      <c r="M490" s="3">
        <v>21</v>
      </c>
      <c r="N490" s="3"/>
    </row>
    <row r="491" spans="2:14" ht="15.75" customHeight="1" x14ac:dyDescent="0.2">
      <c r="B491" s="10" t="s">
        <v>394</v>
      </c>
      <c r="E491" s="6" t="s">
        <v>46</v>
      </c>
      <c r="F491" s="3">
        <v>1.3</v>
      </c>
      <c r="G491" s="3">
        <v>55.5</v>
      </c>
      <c r="H491" s="3">
        <v>5.9</v>
      </c>
      <c r="I491" s="3"/>
      <c r="J491" s="3">
        <v>5.9</v>
      </c>
      <c r="K491" s="11"/>
      <c r="L491" s="11"/>
      <c r="M491" s="11"/>
      <c r="N491" s="11"/>
    </row>
    <row r="492" spans="2:14" ht="15.75" customHeight="1" x14ac:dyDescent="0.2">
      <c r="B492" s="10" t="s">
        <v>395</v>
      </c>
      <c r="E492" s="6" t="s">
        <v>45</v>
      </c>
      <c r="F492" s="3">
        <f>(0.68+0.87)/2</f>
        <v>0.77500000000000002</v>
      </c>
      <c r="G492" s="3">
        <f>(23+26)/2</f>
        <v>24.5</v>
      </c>
      <c r="H492" s="3">
        <f>(5.8+6.4)/2</f>
        <v>6.1</v>
      </c>
      <c r="I492" s="3"/>
      <c r="J492" s="3">
        <f>(44+47)/2</f>
        <v>45.5</v>
      </c>
      <c r="K492" s="3"/>
      <c r="L492" s="3"/>
      <c r="M492" s="3">
        <f>(44+47)/2</f>
        <v>45.5</v>
      </c>
      <c r="N492" s="3"/>
    </row>
    <row r="493" spans="2:14" ht="15.75" customHeight="1" x14ac:dyDescent="0.2">
      <c r="B493" s="10" t="s">
        <v>395</v>
      </c>
      <c r="E493" s="6" t="s">
        <v>46</v>
      </c>
      <c r="F493" s="3">
        <v>0.71</v>
      </c>
      <c r="G493" s="3">
        <v>24</v>
      </c>
      <c r="H493" s="3">
        <v>5.9</v>
      </c>
      <c r="I493" s="3"/>
      <c r="J493" s="3">
        <v>52</v>
      </c>
      <c r="K493" s="11"/>
      <c r="L493" s="11"/>
      <c r="M493" s="11"/>
      <c r="N493" s="11"/>
    </row>
    <row r="494" spans="2:14" ht="15.75" customHeight="1" x14ac:dyDescent="0.2">
      <c r="B494" s="10" t="s">
        <v>396</v>
      </c>
      <c r="C494" s="10" t="s">
        <v>397</v>
      </c>
      <c r="E494" s="6" t="s">
        <v>45</v>
      </c>
      <c r="F494" s="3">
        <f>(1.3+1.4)/2</f>
        <v>1.35</v>
      </c>
      <c r="G494" s="3">
        <f>(23+24)/2</f>
        <v>23.5</v>
      </c>
      <c r="H494" s="3">
        <f t="shared" ref="H494:H495" si="26">(3.7+4.1)/2</f>
        <v>3.9</v>
      </c>
      <c r="I494" s="3"/>
      <c r="J494" s="3">
        <f>(16+19)/2</f>
        <v>17.5</v>
      </c>
      <c r="K494" s="3"/>
      <c r="L494" s="3"/>
      <c r="M494" s="3">
        <f>(60+61)/2</f>
        <v>60.5</v>
      </c>
      <c r="N494" s="3"/>
    </row>
    <row r="495" spans="2:14" ht="15.75" customHeight="1" x14ac:dyDescent="0.2">
      <c r="B495" s="10" t="s">
        <v>396</v>
      </c>
      <c r="C495" s="10" t="s">
        <v>397</v>
      </c>
      <c r="E495" s="6" t="s">
        <v>46</v>
      </c>
      <c r="F495" s="3">
        <f>(1.4+1.6)/2</f>
        <v>1.5</v>
      </c>
      <c r="G495" s="3">
        <v>27</v>
      </c>
      <c r="H495" s="3">
        <f t="shared" si="26"/>
        <v>3.9</v>
      </c>
      <c r="I495" s="3"/>
      <c r="J495" s="3">
        <f>(17+18)/2</f>
        <v>17.5</v>
      </c>
      <c r="K495" s="11"/>
      <c r="L495" s="11"/>
      <c r="M495" s="11"/>
      <c r="N495" s="11"/>
    </row>
    <row r="496" spans="2:14" ht="15.75" customHeight="1" x14ac:dyDescent="0.2">
      <c r="B496" s="10" t="s">
        <v>398</v>
      </c>
      <c r="E496" s="6" t="s">
        <v>45</v>
      </c>
      <c r="F496" s="3">
        <f>(2.1+2.6)/2</f>
        <v>2.35</v>
      </c>
      <c r="G496" s="3">
        <f>(26+34)/2</f>
        <v>30</v>
      </c>
      <c r="H496" s="3">
        <f>(4+4.5)/2</f>
        <v>4.25</v>
      </c>
      <c r="I496" s="3"/>
      <c r="J496" s="3">
        <f>(14+16)/2</f>
        <v>15</v>
      </c>
      <c r="K496" s="3"/>
      <c r="L496" s="3"/>
      <c r="M496" s="3">
        <f>(61+66)/2</f>
        <v>63.5</v>
      </c>
      <c r="N496" s="3"/>
    </row>
    <row r="497" spans="2:14" ht="15.75" customHeight="1" x14ac:dyDescent="0.2">
      <c r="B497" s="10" t="s">
        <v>398</v>
      </c>
      <c r="E497" s="6" t="s">
        <v>46</v>
      </c>
      <c r="F497" s="3">
        <f>(2.16+2.24)/2</f>
        <v>2.2000000000000002</v>
      </c>
      <c r="G497" s="3">
        <v>36</v>
      </c>
      <c r="H497" s="3">
        <f>(4+4.1)/2</f>
        <v>4.05</v>
      </c>
      <c r="I497" s="3"/>
      <c r="J497" s="3">
        <f>(18+19)/2</f>
        <v>18.5</v>
      </c>
      <c r="K497" s="11"/>
      <c r="L497" s="11"/>
      <c r="M497" s="11"/>
      <c r="N497" s="11"/>
    </row>
    <row r="498" spans="2:14" ht="15.75" customHeight="1" x14ac:dyDescent="0.2">
      <c r="B498" s="10" t="s">
        <v>399</v>
      </c>
      <c r="E498" s="6" t="s">
        <v>45</v>
      </c>
      <c r="F498" s="3">
        <v>1.1000000000000001</v>
      </c>
      <c r="G498" s="3">
        <v>31</v>
      </c>
      <c r="H498" s="3">
        <v>3.7</v>
      </c>
      <c r="I498" s="3"/>
      <c r="J498" s="3">
        <v>20</v>
      </c>
      <c r="K498" s="3"/>
      <c r="L498" s="3"/>
      <c r="M498" s="3">
        <v>62</v>
      </c>
      <c r="N498" s="3"/>
    </row>
    <row r="499" spans="2:14" ht="15.75" customHeight="1" x14ac:dyDescent="0.2">
      <c r="B499" s="10" t="s">
        <v>400</v>
      </c>
      <c r="E499" s="6" t="s">
        <v>45</v>
      </c>
      <c r="F499" s="3">
        <v>1.4</v>
      </c>
      <c r="G499" s="3">
        <v>37</v>
      </c>
      <c r="H499" s="3">
        <v>3.3</v>
      </c>
      <c r="I499" s="3"/>
      <c r="J499" s="3">
        <v>12</v>
      </c>
      <c r="K499" s="3"/>
      <c r="L499" s="3"/>
      <c r="M499" s="3">
        <v>63</v>
      </c>
      <c r="N499" s="3"/>
    </row>
    <row r="500" spans="2:14" ht="15.75" customHeight="1" x14ac:dyDescent="0.2">
      <c r="B500" s="10" t="s">
        <v>401</v>
      </c>
      <c r="E500" s="6" t="s">
        <v>45</v>
      </c>
      <c r="F500" s="3">
        <f>(1.9+2.2)/2</f>
        <v>2.0499999999999998</v>
      </c>
      <c r="G500" s="3">
        <f>(24+30)/2</f>
        <v>27</v>
      </c>
      <c r="H500" s="3">
        <f>(5+5.5)/2</f>
        <v>5.25</v>
      </c>
      <c r="I500" s="3"/>
      <c r="J500" s="3">
        <f>(52+61)/2</f>
        <v>56.5</v>
      </c>
      <c r="K500" s="3"/>
      <c r="L500" s="3"/>
      <c r="M500" s="3">
        <f>(54+59)/2</f>
        <v>56.5</v>
      </c>
      <c r="N500" s="3"/>
    </row>
    <row r="501" spans="2:14" ht="15.75" customHeight="1" x14ac:dyDescent="0.2">
      <c r="B501" s="10" t="s">
        <v>401</v>
      </c>
      <c r="E501" s="6" t="s">
        <v>46</v>
      </c>
      <c r="F501" s="3">
        <f>(2+2.2)/2</f>
        <v>2.1</v>
      </c>
      <c r="G501" s="3">
        <f>(26+39)/2</f>
        <v>32.5</v>
      </c>
      <c r="H501" s="3">
        <f>(5+5.9)/2</f>
        <v>5.45</v>
      </c>
      <c r="I501" s="3"/>
      <c r="J501" s="3">
        <f>(53+60)/2</f>
        <v>56.5</v>
      </c>
      <c r="K501" s="11"/>
      <c r="L501" s="11"/>
      <c r="M501" s="11"/>
      <c r="N501" s="11"/>
    </row>
    <row r="502" spans="2:14" ht="15.75" customHeight="1" x14ac:dyDescent="0.2">
      <c r="B502" s="10" t="s">
        <v>402</v>
      </c>
      <c r="E502" s="6" t="s">
        <v>45</v>
      </c>
      <c r="F502" s="3">
        <f t="shared" ref="F502:F503" si="27">(1.6+2.1)/2</f>
        <v>1.85</v>
      </c>
      <c r="G502" s="3">
        <f>(30+41)/2</f>
        <v>35.5</v>
      </c>
      <c r="H502" s="3">
        <f>(3.2+4.1)/2</f>
        <v>3.65</v>
      </c>
      <c r="I502" s="3"/>
      <c r="J502" s="3">
        <f>(72+90)/2</f>
        <v>81</v>
      </c>
      <c r="K502" s="3"/>
      <c r="L502" s="3"/>
      <c r="M502" s="3">
        <f>(60+65)/2</f>
        <v>62.5</v>
      </c>
      <c r="N502" s="3"/>
    </row>
    <row r="503" spans="2:14" ht="15.75" customHeight="1" x14ac:dyDescent="0.2">
      <c r="B503" s="10" t="s">
        <v>402</v>
      </c>
      <c r="E503" s="6" t="s">
        <v>46</v>
      </c>
      <c r="F503" s="3">
        <f t="shared" si="27"/>
        <v>1.85</v>
      </c>
      <c r="G503" s="3">
        <f>(33+46)/2</f>
        <v>39.5</v>
      </c>
      <c r="H503" s="3">
        <f>(3.5+3.8)/2</f>
        <v>3.65</v>
      </c>
      <c r="I503" s="3"/>
      <c r="J503" s="3">
        <f>(53+68)/2</f>
        <v>60.5</v>
      </c>
      <c r="K503" s="11"/>
      <c r="L503" s="11"/>
      <c r="M503" s="11"/>
      <c r="N503" s="11"/>
    </row>
    <row r="504" spans="2:14" ht="15.75" customHeight="1" x14ac:dyDescent="0.2">
      <c r="B504" s="10" t="s">
        <v>403</v>
      </c>
      <c r="E504" s="6" t="s">
        <v>45</v>
      </c>
      <c r="F504" s="3">
        <f>(0.93+0.96)/2</f>
        <v>0.94500000000000006</v>
      </c>
      <c r="G504" s="3">
        <f>(21+23)/2</f>
        <v>22</v>
      </c>
      <c r="H504" s="3">
        <f>(3+3.1)/2</f>
        <v>3.05</v>
      </c>
      <c r="I504" s="3"/>
      <c r="J504" s="3">
        <v>21</v>
      </c>
      <c r="K504" s="3"/>
      <c r="L504" s="3"/>
      <c r="M504" s="3">
        <f>(58+59)/2</f>
        <v>58.5</v>
      </c>
      <c r="N504" s="3"/>
    </row>
    <row r="505" spans="2:14" ht="15.75" customHeight="1" x14ac:dyDescent="0.2">
      <c r="B505" s="10" t="s">
        <v>404</v>
      </c>
      <c r="E505" s="6" t="s">
        <v>45</v>
      </c>
      <c r="F505" s="3">
        <v>2.87</v>
      </c>
      <c r="G505" s="3">
        <v>44</v>
      </c>
      <c r="H505" s="3">
        <v>3.7</v>
      </c>
      <c r="I505" s="3"/>
      <c r="J505" s="3">
        <v>34</v>
      </c>
      <c r="K505" s="3"/>
      <c r="L505" s="3"/>
      <c r="M505" s="3">
        <v>69</v>
      </c>
      <c r="N505" s="3"/>
    </row>
    <row r="506" spans="2:14" ht="15.75" customHeight="1" x14ac:dyDescent="0.2">
      <c r="B506" s="10" t="s">
        <v>404</v>
      </c>
      <c r="E506" s="6" t="s">
        <v>46</v>
      </c>
      <c r="F506" s="3">
        <f>(2.17+2.87)/2</f>
        <v>2.52</v>
      </c>
      <c r="G506" s="3">
        <f>(46+53)/2</f>
        <v>49.5</v>
      </c>
      <c r="H506" s="3">
        <f>(3.5+4)/2</f>
        <v>3.75</v>
      </c>
      <c r="I506" s="3"/>
      <c r="J506" s="3">
        <f>(27+34)/2</f>
        <v>30.5</v>
      </c>
      <c r="K506" s="11"/>
      <c r="L506" s="11"/>
      <c r="M506" s="11"/>
      <c r="N506" s="11"/>
    </row>
    <row r="507" spans="2:14" ht="15.75" customHeight="1" x14ac:dyDescent="0.2">
      <c r="B507" s="10" t="s">
        <v>405</v>
      </c>
      <c r="C507" s="10" t="s">
        <v>406</v>
      </c>
      <c r="E507" s="6" t="s">
        <v>45</v>
      </c>
      <c r="F507" s="3">
        <f>(3.82+4.03)/2</f>
        <v>3.9249999999999998</v>
      </c>
      <c r="G507" s="3">
        <f>(41+47)/2</f>
        <v>44</v>
      </c>
      <c r="H507" s="3">
        <f>(4.6+4.9)/2</f>
        <v>4.75</v>
      </c>
      <c r="I507" s="3"/>
      <c r="J507" s="3">
        <f>(4.7+5.8)/2</f>
        <v>5.25</v>
      </c>
      <c r="K507" s="3"/>
      <c r="L507" s="3"/>
      <c r="M507" s="3">
        <v>58.3</v>
      </c>
      <c r="N507" s="3"/>
    </row>
    <row r="508" spans="2:14" ht="15.75" customHeight="1" x14ac:dyDescent="0.2">
      <c r="B508" s="10" t="s">
        <v>405</v>
      </c>
      <c r="C508" s="10" t="s">
        <v>406</v>
      </c>
      <c r="E508" s="6" t="s">
        <v>46</v>
      </c>
      <c r="F508" s="3">
        <f>(3.75+3.82)/2</f>
        <v>3.7850000000000001</v>
      </c>
      <c r="G508" s="3">
        <f>(38+46)/2</f>
        <v>42</v>
      </c>
      <c r="H508" s="3">
        <f>(4.6+5.2)/2</f>
        <v>4.9000000000000004</v>
      </c>
      <c r="I508" s="3"/>
      <c r="J508" s="3">
        <f>(5.8+10.5)/2</f>
        <v>8.15</v>
      </c>
      <c r="K508" s="11"/>
      <c r="L508" s="11"/>
      <c r="M508" s="11"/>
      <c r="N508" s="11"/>
    </row>
    <row r="509" spans="2:14" ht="15.75" customHeight="1" x14ac:dyDescent="0.2">
      <c r="B509" s="10" t="s">
        <v>407</v>
      </c>
      <c r="E509" s="6" t="s">
        <v>45</v>
      </c>
      <c r="F509" s="3">
        <f>(2.1+3.2)/2</f>
        <v>2.6500000000000004</v>
      </c>
      <c r="G509" s="3">
        <f>(27+35)/2</f>
        <v>31</v>
      </c>
      <c r="H509" s="3">
        <f>(4+5)/2</f>
        <v>4.5</v>
      </c>
      <c r="I509" s="3"/>
      <c r="J509" s="3">
        <f>(8.5+13)/2</f>
        <v>10.75</v>
      </c>
      <c r="K509" s="3"/>
      <c r="L509" s="3"/>
      <c r="M509" s="3">
        <f>(59+68)/2</f>
        <v>63.5</v>
      </c>
      <c r="N509" s="3"/>
    </row>
    <row r="510" spans="2:14" ht="15.75" customHeight="1" x14ac:dyDescent="0.2">
      <c r="B510" s="10" t="s">
        <v>407</v>
      </c>
      <c r="E510" s="6" t="s">
        <v>46</v>
      </c>
      <c r="F510" s="3">
        <f>(2.2+2.6)/2</f>
        <v>2.4000000000000004</v>
      </c>
      <c r="G510" s="3">
        <f>(28+34)/2</f>
        <v>31</v>
      </c>
      <c r="H510" s="3">
        <f>(4.1+4.6)/2</f>
        <v>4.3499999999999996</v>
      </c>
      <c r="I510" s="3"/>
      <c r="J510" s="3">
        <f>(10+13)/2</f>
        <v>11.5</v>
      </c>
      <c r="K510" s="11"/>
      <c r="L510" s="11"/>
      <c r="M510" s="11"/>
      <c r="N510" s="11"/>
    </row>
    <row r="511" spans="2:14" ht="15.75" customHeight="1" x14ac:dyDescent="0.2">
      <c r="B511" s="10" t="s">
        <v>408</v>
      </c>
      <c r="E511" s="6" t="s">
        <v>45</v>
      </c>
      <c r="F511" s="3">
        <v>1.4</v>
      </c>
      <c r="G511" s="3">
        <v>29</v>
      </c>
      <c r="H511" s="3">
        <v>4.8</v>
      </c>
      <c r="I511" s="3"/>
      <c r="J511" s="3">
        <v>13</v>
      </c>
      <c r="K511" s="3"/>
      <c r="L511" s="3"/>
      <c r="M511" s="3">
        <v>70</v>
      </c>
      <c r="N511" s="3"/>
    </row>
    <row r="512" spans="2:14" ht="15.75" customHeight="1" x14ac:dyDescent="0.2">
      <c r="B512" s="10" t="s">
        <v>409</v>
      </c>
      <c r="E512" s="6" t="s">
        <v>45</v>
      </c>
      <c r="F512" s="3">
        <v>1.1000000000000001</v>
      </c>
      <c r="G512" s="3">
        <v>23</v>
      </c>
      <c r="H512" s="3">
        <v>3.4</v>
      </c>
      <c r="I512" s="3"/>
      <c r="J512" s="3">
        <v>47</v>
      </c>
      <c r="K512" s="3"/>
      <c r="L512" s="3"/>
      <c r="M512" s="3">
        <v>55</v>
      </c>
      <c r="N512" s="3"/>
    </row>
    <row r="513" spans="2:14" ht="15.75" customHeight="1" x14ac:dyDescent="0.2">
      <c r="B513" s="10" t="s">
        <v>410</v>
      </c>
      <c r="E513" s="6" t="s">
        <v>45</v>
      </c>
      <c r="F513" s="3">
        <v>0.9</v>
      </c>
      <c r="G513" s="3">
        <v>22</v>
      </c>
      <c r="H513" s="3">
        <v>4.3</v>
      </c>
      <c r="I513" s="3"/>
      <c r="J513" s="3">
        <v>50</v>
      </c>
      <c r="K513" s="3"/>
      <c r="L513" s="3"/>
      <c r="M513" s="3">
        <v>57</v>
      </c>
      <c r="N513" s="3"/>
    </row>
    <row r="514" spans="2:14" ht="15.75" customHeight="1" x14ac:dyDescent="0.2">
      <c r="B514" s="10" t="s">
        <v>411</v>
      </c>
      <c r="E514" s="6" t="s">
        <v>45</v>
      </c>
      <c r="F514" s="3">
        <f>(0.99+1.05)/2</f>
        <v>1.02</v>
      </c>
      <c r="G514" s="3">
        <f>(47+76)/2</f>
        <v>61.5</v>
      </c>
      <c r="H514" s="3">
        <f>(4+5.3)/2</f>
        <v>4.6500000000000004</v>
      </c>
      <c r="I514" s="3"/>
      <c r="J514" s="3">
        <f>(5.4+7.2)/2</f>
        <v>6.3000000000000007</v>
      </c>
      <c r="K514" s="3"/>
      <c r="L514" s="3"/>
      <c r="M514" s="3">
        <f>(39+41)/2</f>
        <v>40</v>
      </c>
      <c r="N514" s="3"/>
    </row>
    <row r="515" spans="2:14" ht="15.75" customHeight="1" x14ac:dyDescent="0.2">
      <c r="B515" s="10" t="s">
        <v>411</v>
      </c>
      <c r="E515" s="6" t="s">
        <v>46</v>
      </c>
      <c r="F515" s="3">
        <f>(0.76+0.94)/2</f>
        <v>0.85</v>
      </c>
      <c r="G515" s="3">
        <f>(55+75)/2</f>
        <v>65</v>
      </c>
      <c r="H515" s="3">
        <f>(4.5+4.8)/2</f>
        <v>4.6500000000000004</v>
      </c>
      <c r="I515" s="3"/>
      <c r="J515" s="3">
        <f>(9+10)/2</f>
        <v>9.5</v>
      </c>
      <c r="K515" s="11"/>
      <c r="L515" s="11"/>
      <c r="M515" s="11"/>
      <c r="N515" s="11"/>
    </row>
    <row r="516" spans="2:14" ht="15.75" customHeight="1" x14ac:dyDescent="0.2">
      <c r="B516" s="10" t="s">
        <v>412</v>
      </c>
      <c r="E516" s="6" t="s">
        <v>45</v>
      </c>
      <c r="F516" s="3">
        <v>2</v>
      </c>
      <c r="G516" s="3">
        <v>50</v>
      </c>
      <c r="H516" s="3">
        <v>5</v>
      </c>
      <c r="I516" s="3"/>
      <c r="J516" s="3">
        <v>21</v>
      </c>
      <c r="K516" s="3"/>
      <c r="L516" s="3"/>
      <c r="M516" s="3">
        <v>52</v>
      </c>
      <c r="N516" s="3"/>
    </row>
    <row r="517" spans="2:14" ht="15.75" customHeight="1" x14ac:dyDescent="0.2">
      <c r="B517" s="10" t="s">
        <v>413</v>
      </c>
      <c r="E517" s="6" t="s">
        <v>45</v>
      </c>
      <c r="F517" s="3">
        <v>0.53</v>
      </c>
      <c r="G517" s="3">
        <v>15</v>
      </c>
      <c r="H517" s="3">
        <v>3</v>
      </c>
      <c r="I517" s="3"/>
      <c r="J517" s="3">
        <v>10</v>
      </c>
      <c r="K517" s="3"/>
      <c r="L517" s="3"/>
      <c r="M517" s="3">
        <v>54</v>
      </c>
      <c r="N517" s="3"/>
    </row>
    <row r="518" spans="2:14" ht="15.75" customHeight="1" x14ac:dyDescent="0.2">
      <c r="B518" s="10" t="s">
        <v>413</v>
      </c>
      <c r="E518" s="6" t="s">
        <v>46</v>
      </c>
      <c r="F518" s="3">
        <v>0.46</v>
      </c>
      <c r="G518" s="3">
        <v>13</v>
      </c>
      <c r="H518" s="3">
        <v>3.7</v>
      </c>
      <c r="I518" s="3"/>
      <c r="J518" s="3">
        <v>13</v>
      </c>
      <c r="K518" s="11"/>
      <c r="L518" s="11"/>
      <c r="M518" s="11"/>
      <c r="N518" s="11"/>
    </row>
    <row r="519" spans="2:14" ht="15.75" customHeight="1" x14ac:dyDescent="0.2">
      <c r="B519" s="10" t="s">
        <v>414</v>
      </c>
      <c r="E519" s="6" t="s">
        <v>45</v>
      </c>
      <c r="F519" s="3">
        <v>1.6</v>
      </c>
      <c r="G519" s="3">
        <v>30</v>
      </c>
      <c r="H519" s="3">
        <f>(8+12)/2</f>
        <v>10</v>
      </c>
      <c r="I519" s="3"/>
      <c r="J519" s="3">
        <f>(30+40)/2</f>
        <v>35</v>
      </c>
      <c r="K519" s="3"/>
      <c r="L519" s="3"/>
      <c r="M519" s="3">
        <v>53</v>
      </c>
      <c r="N519" s="3"/>
    </row>
    <row r="520" spans="2:14" ht="15.75" customHeight="1" x14ac:dyDescent="0.2">
      <c r="B520" s="10" t="s">
        <v>414</v>
      </c>
      <c r="E520" s="6" t="s">
        <v>46</v>
      </c>
      <c r="F520" s="3">
        <v>1.5</v>
      </c>
      <c r="G520" s="3">
        <v>32</v>
      </c>
      <c r="H520" s="3">
        <v>11</v>
      </c>
      <c r="I520" s="3"/>
      <c r="J520" s="3">
        <f>(30+38)/2</f>
        <v>34</v>
      </c>
      <c r="K520" s="11"/>
      <c r="L520" s="11"/>
      <c r="M520" s="11"/>
      <c r="N520" s="11"/>
    </row>
    <row r="521" spans="2:14" ht="15.75" customHeight="1" x14ac:dyDescent="0.2">
      <c r="B521" s="10" t="s">
        <v>415</v>
      </c>
      <c r="E521" s="6" t="s">
        <v>45</v>
      </c>
      <c r="F521" s="3">
        <v>1</v>
      </c>
      <c r="G521" s="3">
        <v>16</v>
      </c>
      <c r="H521" s="3">
        <v>5.3</v>
      </c>
      <c r="I521" s="3"/>
      <c r="J521" s="3"/>
      <c r="K521" s="3"/>
      <c r="L521" s="3"/>
      <c r="M521" s="3">
        <v>56</v>
      </c>
      <c r="N521" s="3"/>
    </row>
    <row r="522" spans="2:14" ht="15.75" customHeight="1" x14ac:dyDescent="0.2">
      <c r="B522" s="10" t="s">
        <v>415</v>
      </c>
      <c r="E522" s="6" t="s">
        <v>46</v>
      </c>
      <c r="F522" s="3">
        <v>1.1000000000000001</v>
      </c>
      <c r="G522" s="3">
        <v>21</v>
      </c>
      <c r="H522" s="3">
        <v>5.6</v>
      </c>
      <c r="I522" s="3"/>
      <c r="J522" s="3">
        <v>60</v>
      </c>
      <c r="K522" s="11"/>
      <c r="L522" s="11"/>
      <c r="M522" s="11"/>
      <c r="N522" s="11"/>
    </row>
    <row r="523" spans="2:14" ht="15.75" customHeight="1" x14ac:dyDescent="0.2">
      <c r="B523" s="10" t="s">
        <v>416</v>
      </c>
      <c r="E523" s="6" t="s">
        <v>45</v>
      </c>
      <c r="F523" s="3">
        <f>(80+200)/2</f>
        <v>140</v>
      </c>
      <c r="G523" s="3">
        <f>(200+250)/2</f>
        <v>225</v>
      </c>
      <c r="H523" s="3"/>
      <c r="I523" s="3"/>
      <c r="J523" s="3"/>
      <c r="K523" s="3"/>
      <c r="L523" s="3"/>
      <c r="M523" s="3">
        <f>(48+50)/2</f>
        <v>49</v>
      </c>
      <c r="N523" s="3"/>
    </row>
    <row r="524" spans="2:14" ht="15.75" customHeight="1" x14ac:dyDescent="0.2">
      <c r="B524" s="10" t="s">
        <v>416</v>
      </c>
      <c r="E524" s="6" t="s">
        <v>46</v>
      </c>
      <c r="F524" s="3">
        <f>(40+50)/2</f>
        <v>45</v>
      </c>
      <c r="G524" s="3"/>
      <c r="H524" s="3"/>
      <c r="I524" s="3"/>
      <c r="J524" s="3"/>
      <c r="K524" s="11"/>
      <c r="L524" s="11"/>
      <c r="M524" s="11"/>
      <c r="N524" s="11"/>
    </row>
    <row r="525" spans="2:14" ht="15.75" customHeight="1" x14ac:dyDescent="0.2">
      <c r="F525" s="11"/>
      <c r="G525" s="11"/>
      <c r="H525" s="11"/>
      <c r="I525" s="11"/>
      <c r="J525" s="11"/>
      <c r="K525" s="11"/>
      <c r="L525" s="11"/>
      <c r="M525" s="11"/>
      <c r="N525" s="11"/>
    </row>
    <row r="526" spans="2:14" ht="15.75" customHeight="1" x14ac:dyDescent="0.2">
      <c r="F526" s="11"/>
      <c r="G526" s="11"/>
      <c r="H526" s="11"/>
      <c r="I526" s="11"/>
      <c r="J526" s="11"/>
      <c r="K526" s="11"/>
      <c r="L526" s="11"/>
      <c r="M526" s="11"/>
      <c r="N526" s="11"/>
    </row>
    <row r="527" spans="2:14" ht="15.75" customHeight="1" x14ac:dyDescent="0.2">
      <c r="F527" s="11"/>
      <c r="G527" s="11"/>
      <c r="H527" s="11"/>
      <c r="I527" s="11"/>
      <c r="J527" s="11"/>
      <c r="K527" s="11"/>
      <c r="L527" s="11"/>
      <c r="M527" s="11"/>
      <c r="N527" s="11"/>
    </row>
    <row r="528" spans="2:14" ht="15.75" customHeight="1" x14ac:dyDescent="0.2">
      <c r="F528" s="11"/>
      <c r="G528" s="11"/>
      <c r="H528" s="11"/>
      <c r="I528" s="11"/>
      <c r="J528" s="11"/>
      <c r="K528" s="11"/>
      <c r="L528" s="11"/>
      <c r="M528" s="11"/>
      <c r="N528" s="11"/>
    </row>
    <row r="529" spans="6:14" ht="15.75" customHeight="1" x14ac:dyDescent="0.2">
      <c r="F529" s="11"/>
      <c r="G529" s="11"/>
      <c r="H529" s="11"/>
      <c r="I529" s="11"/>
      <c r="J529" s="11"/>
      <c r="K529" s="11"/>
      <c r="L529" s="11"/>
      <c r="M529" s="11"/>
      <c r="N529" s="11"/>
    </row>
    <row r="530" spans="6:14" ht="15.75" customHeight="1" x14ac:dyDescent="0.2">
      <c r="F530" s="11"/>
      <c r="G530" s="11"/>
      <c r="H530" s="11"/>
      <c r="I530" s="11"/>
      <c r="J530" s="11"/>
      <c r="K530" s="11"/>
      <c r="L530" s="11"/>
      <c r="M530" s="11"/>
      <c r="N530" s="11"/>
    </row>
    <row r="531" spans="6:14" ht="15.75" customHeight="1" x14ac:dyDescent="0.2">
      <c r="F531" s="11"/>
      <c r="G531" s="11"/>
      <c r="H531" s="11"/>
      <c r="I531" s="11"/>
      <c r="J531" s="11"/>
      <c r="K531" s="11"/>
      <c r="L531" s="11"/>
      <c r="M531" s="11"/>
      <c r="N531" s="11"/>
    </row>
    <row r="532" spans="6:14" ht="15.75" customHeight="1" x14ac:dyDescent="0.2">
      <c r="F532" s="11"/>
      <c r="G532" s="11"/>
      <c r="H532" s="11"/>
      <c r="I532" s="11"/>
      <c r="J532" s="11"/>
      <c r="K532" s="11"/>
      <c r="L532" s="11"/>
      <c r="M532" s="11"/>
      <c r="N532" s="11"/>
    </row>
    <row r="533" spans="6:14" ht="15.75" customHeight="1" x14ac:dyDescent="0.2">
      <c r="F533" s="11"/>
      <c r="G533" s="11"/>
      <c r="H533" s="11"/>
      <c r="I533" s="11"/>
      <c r="J533" s="11"/>
      <c r="K533" s="11"/>
      <c r="L533" s="11"/>
      <c r="M533" s="11"/>
      <c r="N533" s="11"/>
    </row>
    <row r="534" spans="6:14" ht="15.75" customHeight="1" x14ac:dyDescent="0.2">
      <c r="F534" s="11"/>
      <c r="G534" s="11"/>
      <c r="H534" s="11"/>
      <c r="I534" s="11"/>
      <c r="J534" s="11"/>
      <c r="K534" s="11"/>
      <c r="L534" s="11"/>
      <c r="M534" s="11"/>
      <c r="N534" s="11"/>
    </row>
    <row r="535" spans="6:14" ht="15.75" customHeight="1" x14ac:dyDescent="0.2">
      <c r="F535" s="11"/>
      <c r="G535" s="11"/>
      <c r="H535" s="11"/>
      <c r="I535" s="11"/>
      <c r="J535" s="11"/>
      <c r="K535" s="11"/>
      <c r="L535" s="11"/>
      <c r="M535" s="11"/>
      <c r="N535" s="11"/>
    </row>
    <row r="536" spans="6:14" ht="15.75" customHeight="1" x14ac:dyDescent="0.2">
      <c r="F536" s="11"/>
      <c r="G536" s="11"/>
      <c r="H536" s="11"/>
      <c r="I536" s="11"/>
      <c r="J536" s="11"/>
      <c r="K536" s="11"/>
      <c r="L536" s="11"/>
      <c r="M536" s="11"/>
      <c r="N536" s="11"/>
    </row>
    <row r="537" spans="6:14" ht="15.75" customHeight="1" x14ac:dyDescent="0.2">
      <c r="F537" s="11"/>
      <c r="G537" s="11"/>
      <c r="H537" s="11"/>
      <c r="I537" s="11"/>
      <c r="J537" s="11"/>
      <c r="K537" s="11"/>
      <c r="L537" s="11"/>
      <c r="M537" s="11"/>
      <c r="N537" s="11"/>
    </row>
    <row r="538" spans="6:14" ht="15.75" customHeight="1" x14ac:dyDescent="0.2">
      <c r="F538" s="11"/>
      <c r="G538" s="11"/>
      <c r="H538" s="11"/>
      <c r="I538" s="11"/>
      <c r="J538" s="11"/>
      <c r="K538" s="11"/>
      <c r="L538" s="11"/>
      <c r="M538" s="11"/>
      <c r="N538" s="11"/>
    </row>
    <row r="539" spans="6:14" ht="15.75" customHeight="1" x14ac:dyDescent="0.2">
      <c r="F539" s="11"/>
      <c r="G539" s="11"/>
      <c r="H539" s="11"/>
      <c r="I539" s="11"/>
      <c r="J539" s="11"/>
      <c r="K539" s="11"/>
      <c r="L539" s="11"/>
      <c r="M539" s="11"/>
      <c r="N539" s="11"/>
    </row>
    <row r="540" spans="6:14" ht="15.75" customHeight="1" x14ac:dyDescent="0.2">
      <c r="F540" s="11"/>
      <c r="G540" s="11"/>
      <c r="H540" s="11"/>
      <c r="I540" s="11"/>
      <c r="J540" s="11"/>
      <c r="K540" s="11"/>
      <c r="L540" s="11"/>
      <c r="M540" s="11"/>
      <c r="N540" s="11"/>
    </row>
    <row r="541" spans="6:14" ht="15.75" customHeight="1" x14ac:dyDescent="0.2">
      <c r="F541" s="11"/>
      <c r="G541" s="11"/>
      <c r="H541" s="11"/>
      <c r="I541" s="11"/>
      <c r="J541" s="11"/>
      <c r="K541" s="11"/>
      <c r="L541" s="11"/>
      <c r="M541" s="11"/>
      <c r="N541" s="11"/>
    </row>
    <row r="542" spans="6:14" ht="15.75" customHeight="1" x14ac:dyDescent="0.2">
      <c r="F542" s="11"/>
      <c r="G542" s="11"/>
      <c r="H542" s="11"/>
      <c r="I542" s="11"/>
      <c r="J542" s="11"/>
      <c r="K542" s="11"/>
      <c r="L542" s="11"/>
      <c r="M542" s="11"/>
      <c r="N542" s="11"/>
    </row>
    <row r="543" spans="6:14" ht="15.75" customHeight="1" x14ac:dyDescent="0.2">
      <c r="F543" s="11"/>
      <c r="G543" s="11"/>
      <c r="H543" s="11"/>
      <c r="I543" s="11"/>
      <c r="J543" s="11"/>
      <c r="K543" s="11"/>
      <c r="L543" s="11"/>
      <c r="M543" s="11"/>
      <c r="N543" s="11"/>
    </row>
    <row r="544" spans="6:14" ht="15.75" customHeight="1" x14ac:dyDescent="0.2">
      <c r="F544" s="11"/>
      <c r="G544" s="11"/>
      <c r="H544" s="11"/>
      <c r="I544" s="11"/>
      <c r="J544" s="11"/>
      <c r="K544" s="11"/>
      <c r="L544" s="11"/>
      <c r="M544" s="11"/>
      <c r="N544" s="11"/>
    </row>
    <row r="545" spans="6:14" ht="15.75" customHeight="1" x14ac:dyDescent="0.2">
      <c r="F545" s="11"/>
      <c r="G545" s="11"/>
      <c r="H545" s="11"/>
      <c r="I545" s="11"/>
      <c r="J545" s="11"/>
      <c r="K545" s="11"/>
      <c r="L545" s="11"/>
      <c r="M545" s="11"/>
      <c r="N545" s="11"/>
    </row>
    <row r="546" spans="6:14" ht="15.75" customHeight="1" x14ac:dyDescent="0.2">
      <c r="F546" s="11"/>
      <c r="G546" s="11"/>
      <c r="H546" s="11"/>
      <c r="I546" s="11"/>
      <c r="J546" s="11"/>
      <c r="K546" s="11"/>
      <c r="L546" s="11"/>
      <c r="M546" s="11"/>
      <c r="N546" s="11"/>
    </row>
    <row r="547" spans="6:14" ht="15.75" customHeight="1" x14ac:dyDescent="0.2">
      <c r="F547" s="11"/>
      <c r="G547" s="11"/>
      <c r="H547" s="11"/>
      <c r="I547" s="11"/>
      <c r="J547" s="11"/>
      <c r="K547" s="11"/>
      <c r="L547" s="11"/>
      <c r="M547" s="11"/>
      <c r="N547" s="11"/>
    </row>
    <row r="548" spans="6:14" ht="15.75" customHeight="1" x14ac:dyDescent="0.2">
      <c r="F548" s="11"/>
      <c r="G548" s="11"/>
      <c r="H548" s="11"/>
      <c r="I548" s="11"/>
      <c r="J548" s="11"/>
      <c r="K548" s="11"/>
      <c r="L548" s="11"/>
      <c r="M548" s="11"/>
      <c r="N548" s="11"/>
    </row>
    <row r="549" spans="6:14" ht="15.75" customHeight="1" x14ac:dyDescent="0.2">
      <c r="F549" s="11"/>
      <c r="G549" s="11"/>
      <c r="H549" s="11"/>
      <c r="I549" s="11"/>
      <c r="J549" s="11"/>
      <c r="K549" s="11"/>
      <c r="L549" s="11"/>
      <c r="M549" s="11"/>
      <c r="N549" s="11"/>
    </row>
    <row r="550" spans="6:14" ht="15.75" customHeight="1" x14ac:dyDescent="0.2">
      <c r="F550" s="11"/>
      <c r="G550" s="11"/>
      <c r="H550" s="11"/>
      <c r="I550" s="11"/>
      <c r="J550" s="11"/>
      <c r="K550" s="11"/>
      <c r="L550" s="11"/>
      <c r="M550" s="11"/>
      <c r="N550" s="11"/>
    </row>
    <row r="551" spans="6:14" ht="15.75" customHeight="1" x14ac:dyDescent="0.2">
      <c r="F551" s="11"/>
      <c r="G551" s="11"/>
      <c r="H551" s="11"/>
      <c r="I551" s="11"/>
      <c r="J551" s="11"/>
      <c r="K551" s="11"/>
      <c r="L551" s="11"/>
      <c r="M551" s="11"/>
      <c r="N551" s="11"/>
    </row>
    <row r="552" spans="6:14" ht="15.75" customHeight="1" x14ac:dyDescent="0.2">
      <c r="F552" s="11"/>
      <c r="G552" s="11"/>
      <c r="H552" s="11"/>
      <c r="I552" s="11"/>
      <c r="J552" s="11"/>
      <c r="K552" s="11"/>
      <c r="L552" s="11"/>
      <c r="M552" s="11"/>
      <c r="N552" s="11"/>
    </row>
    <row r="553" spans="6:14" ht="15.75" customHeight="1" x14ac:dyDescent="0.2">
      <c r="F553" s="11"/>
      <c r="G553" s="11"/>
      <c r="H553" s="11"/>
      <c r="I553" s="11"/>
      <c r="J553" s="11"/>
      <c r="K553" s="11"/>
      <c r="L553" s="11"/>
      <c r="M553" s="11"/>
      <c r="N553" s="11"/>
    </row>
    <row r="554" spans="6:14" ht="15.75" customHeight="1" x14ac:dyDescent="0.2">
      <c r="F554" s="11"/>
      <c r="G554" s="11"/>
      <c r="H554" s="11"/>
      <c r="I554" s="11"/>
      <c r="J554" s="11"/>
      <c r="K554" s="11"/>
      <c r="L554" s="11"/>
      <c r="M554" s="11"/>
      <c r="N554" s="11"/>
    </row>
    <row r="555" spans="6:14" ht="15.75" customHeight="1" x14ac:dyDescent="0.2">
      <c r="F555" s="11"/>
      <c r="G555" s="11"/>
      <c r="H555" s="11"/>
      <c r="I555" s="11"/>
      <c r="J555" s="11"/>
      <c r="K555" s="11"/>
      <c r="L555" s="11"/>
      <c r="M555" s="11"/>
      <c r="N555" s="11"/>
    </row>
    <row r="556" spans="6:14" ht="15.75" customHeight="1" x14ac:dyDescent="0.2">
      <c r="F556" s="11"/>
      <c r="G556" s="11"/>
      <c r="H556" s="11"/>
      <c r="I556" s="11"/>
      <c r="J556" s="11"/>
      <c r="K556" s="11"/>
      <c r="L556" s="11"/>
      <c r="M556" s="11"/>
      <c r="N556" s="11"/>
    </row>
    <row r="557" spans="6:14" ht="15.75" customHeight="1" x14ac:dyDescent="0.2">
      <c r="F557" s="11"/>
      <c r="G557" s="11"/>
      <c r="H557" s="11"/>
      <c r="I557" s="11"/>
      <c r="J557" s="11"/>
      <c r="K557" s="11"/>
      <c r="L557" s="11"/>
      <c r="M557" s="11"/>
      <c r="N557" s="11"/>
    </row>
    <row r="558" spans="6:14" ht="15.75" customHeight="1" x14ac:dyDescent="0.2">
      <c r="F558" s="11"/>
      <c r="G558" s="11"/>
      <c r="H558" s="11"/>
      <c r="I558" s="11"/>
      <c r="J558" s="11"/>
      <c r="K558" s="11"/>
      <c r="L558" s="11"/>
      <c r="M558" s="11"/>
      <c r="N558" s="11"/>
    </row>
    <row r="559" spans="6:14" ht="15.75" customHeight="1" x14ac:dyDescent="0.2">
      <c r="F559" s="11"/>
      <c r="G559" s="11"/>
      <c r="H559" s="11"/>
      <c r="I559" s="11"/>
      <c r="J559" s="11"/>
      <c r="K559" s="11"/>
      <c r="L559" s="11"/>
      <c r="M559" s="11"/>
      <c r="N559" s="11"/>
    </row>
    <row r="560" spans="6:14" ht="15.75" customHeight="1" x14ac:dyDescent="0.2">
      <c r="F560" s="11"/>
      <c r="G560" s="11"/>
      <c r="H560" s="11"/>
      <c r="I560" s="11"/>
      <c r="J560" s="11"/>
      <c r="K560" s="11"/>
      <c r="L560" s="11"/>
      <c r="M560" s="11"/>
      <c r="N560" s="11"/>
    </row>
    <row r="561" spans="6:14" ht="15.75" customHeight="1" x14ac:dyDescent="0.2">
      <c r="F561" s="11"/>
      <c r="G561" s="11"/>
      <c r="H561" s="11"/>
      <c r="I561" s="11"/>
      <c r="J561" s="11"/>
      <c r="K561" s="11"/>
      <c r="L561" s="11"/>
      <c r="M561" s="11"/>
      <c r="N561" s="11"/>
    </row>
    <row r="562" spans="6:14" ht="15.75" customHeight="1" x14ac:dyDescent="0.2">
      <c r="F562" s="11"/>
      <c r="G562" s="11"/>
      <c r="H562" s="11"/>
      <c r="I562" s="11"/>
      <c r="J562" s="11"/>
      <c r="K562" s="11"/>
      <c r="L562" s="11"/>
      <c r="M562" s="11"/>
      <c r="N562" s="11"/>
    </row>
    <row r="563" spans="6:14" ht="15.75" customHeight="1" x14ac:dyDescent="0.2">
      <c r="F563" s="11"/>
      <c r="G563" s="11"/>
      <c r="H563" s="11"/>
      <c r="I563" s="11"/>
      <c r="J563" s="11"/>
      <c r="K563" s="11"/>
      <c r="L563" s="11"/>
      <c r="M563" s="11"/>
      <c r="N563" s="11"/>
    </row>
    <row r="564" spans="6:14" ht="15.75" customHeight="1" x14ac:dyDescent="0.2">
      <c r="F564" s="11"/>
      <c r="G564" s="11"/>
      <c r="H564" s="11"/>
      <c r="I564" s="11"/>
      <c r="J564" s="11"/>
      <c r="K564" s="11"/>
      <c r="L564" s="11"/>
      <c r="M564" s="11"/>
      <c r="N564" s="11"/>
    </row>
    <row r="565" spans="6:14" ht="15.75" customHeight="1" x14ac:dyDescent="0.2">
      <c r="F565" s="11"/>
      <c r="G565" s="11"/>
      <c r="H565" s="11"/>
      <c r="I565" s="11"/>
      <c r="J565" s="11"/>
      <c r="K565" s="11"/>
      <c r="L565" s="11"/>
      <c r="M565" s="11"/>
      <c r="N565" s="11"/>
    </row>
    <row r="566" spans="6:14" ht="15.75" customHeight="1" x14ac:dyDescent="0.2">
      <c r="F566" s="11"/>
      <c r="G566" s="11"/>
      <c r="H566" s="11"/>
      <c r="I566" s="11"/>
      <c r="J566" s="11"/>
      <c r="K566" s="11"/>
      <c r="L566" s="11"/>
      <c r="M566" s="11"/>
      <c r="N566" s="11"/>
    </row>
    <row r="567" spans="6:14" ht="15.75" customHeight="1" x14ac:dyDescent="0.2">
      <c r="F567" s="11"/>
      <c r="G567" s="11"/>
      <c r="H567" s="11"/>
      <c r="I567" s="11"/>
      <c r="J567" s="11"/>
      <c r="K567" s="11"/>
      <c r="L567" s="11"/>
      <c r="M567" s="11"/>
      <c r="N567" s="11"/>
    </row>
    <row r="568" spans="6:14" ht="15.75" customHeight="1" x14ac:dyDescent="0.2">
      <c r="F568" s="11"/>
      <c r="G568" s="11"/>
      <c r="H568" s="11"/>
      <c r="I568" s="11"/>
      <c r="J568" s="11"/>
      <c r="K568" s="11"/>
      <c r="L568" s="11"/>
      <c r="M568" s="11"/>
      <c r="N568" s="11"/>
    </row>
    <row r="569" spans="6:14" ht="15.75" customHeight="1" x14ac:dyDescent="0.2">
      <c r="F569" s="11"/>
      <c r="G569" s="11"/>
      <c r="H569" s="11"/>
      <c r="I569" s="11"/>
      <c r="J569" s="11"/>
      <c r="K569" s="11"/>
      <c r="L569" s="11"/>
      <c r="M569" s="11"/>
      <c r="N569" s="11"/>
    </row>
    <row r="570" spans="6:14" ht="15.75" customHeight="1" x14ac:dyDescent="0.2">
      <c r="F570" s="11"/>
      <c r="G570" s="11"/>
      <c r="H570" s="11"/>
      <c r="I570" s="11"/>
      <c r="J570" s="11"/>
      <c r="K570" s="11"/>
      <c r="L570" s="11"/>
      <c r="M570" s="11"/>
      <c r="N570" s="11"/>
    </row>
    <row r="571" spans="6:14" ht="15.75" customHeight="1" x14ac:dyDescent="0.2">
      <c r="F571" s="11"/>
      <c r="G571" s="11"/>
      <c r="H571" s="11"/>
      <c r="I571" s="11"/>
      <c r="J571" s="11"/>
      <c r="K571" s="11"/>
      <c r="L571" s="11"/>
      <c r="M571" s="11"/>
      <c r="N571" s="11"/>
    </row>
    <row r="572" spans="6:14" ht="15.75" customHeight="1" x14ac:dyDescent="0.2">
      <c r="F572" s="11"/>
      <c r="G572" s="11"/>
      <c r="H572" s="11"/>
      <c r="I572" s="11"/>
      <c r="J572" s="11"/>
      <c r="K572" s="11"/>
      <c r="L572" s="11"/>
      <c r="M572" s="11"/>
      <c r="N572" s="11"/>
    </row>
    <row r="573" spans="6:14" ht="15.75" customHeight="1" x14ac:dyDescent="0.2">
      <c r="F573" s="11"/>
      <c r="G573" s="11"/>
      <c r="H573" s="11"/>
      <c r="I573" s="11"/>
      <c r="J573" s="11"/>
      <c r="K573" s="11"/>
      <c r="L573" s="11"/>
      <c r="M573" s="11"/>
      <c r="N573" s="11"/>
    </row>
    <row r="574" spans="6:14" ht="15.75" customHeight="1" x14ac:dyDescent="0.2">
      <c r="F574" s="11"/>
      <c r="G574" s="11"/>
      <c r="H574" s="11"/>
      <c r="I574" s="11"/>
      <c r="J574" s="11"/>
      <c r="K574" s="11"/>
      <c r="L574" s="11"/>
      <c r="M574" s="11"/>
      <c r="N574" s="11"/>
    </row>
    <row r="575" spans="6:14" ht="15.75" customHeight="1" x14ac:dyDescent="0.2">
      <c r="F575" s="11"/>
      <c r="G575" s="11"/>
      <c r="H575" s="11"/>
      <c r="I575" s="11"/>
      <c r="J575" s="11"/>
      <c r="K575" s="11"/>
      <c r="L575" s="11"/>
      <c r="M575" s="11"/>
      <c r="N575" s="11"/>
    </row>
    <row r="576" spans="6:14" ht="15.75" customHeight="1" x14ac:dyDescent="0.2">
      <c r="F576" s="11"/>
      <c r="G576" s="11"/>
      <c r="H576" s="11"/>
      <c r="I576" s="11"/>
      <c r="J576" s="11"/>
      <c r="K576" s="11"/>
      <c r="L576" s="11"/>
      <c r="M576" s="11"/>
      <c r="N576" s="11"/>
    </row>
    <row r="577" spans="6:14" ht="15.75" customHeight="1" x14ac:dyDescent="0.2">
      <c r="F577" s="11"/>
      <c r="G577" s="11"/>
      <c r="H577" s="11"/>
      <c r="I577" s="11"/>
      <c r="J577" s="11"/>
      <c r="K577" s="11"/>
      <c r="L577" s="11"/>
      <c r="M577" s="11"/>
      <c r="N577" s="11"/>
    </row>
    <row r="578" spans="6:14" ht="15.75" customHeight="1" x14ac:dyDescent="0.2">
      <c r="F578" s="11"/>
      <c r="G578" s="11"/>
      <c r="H578" s="11"/>
      <c r="I578" s="11"/>
      <c r="J578" s="11"/>
      <c r="K578" s="11"/>
      <c r="L578" s="11"/>
      <c r="M578" s="11"/>
      <c r="N578" s="11"/>
    </row>
    <row r="579" spans="6:14" ht="15.75" customHeight="1" x14ac:dyDescent="0.2">
      <c r="F579" s="11"/>
      <c r="G579" s="11"/>
      <c r="H579" s="11"/>
      <c r="I579" s="11"/>
      <c r="J579" s="11"/>
      <c r="K579" s="11"/>
      <c r="L579" s="11"/>
      <c r="M579" s="11"/>
      <c r="N579" s="11"/>
    </row>
    <row r="580" spans="6:14" ht="15.75" customHeight="1" x14ac:dyDescent="0.2">
      <c r="F580" s="11"/>
      <c r="G580" s="11"/>
      <c r="H580" s="11"/>
      <c r="I580" s="11"/>
      <c r="J580" s="11"/>
      <c r="K580" s="11"/>
      <c r="L580" s="11"/>
      <c r="M580" s="11"/>
      <c r="N580" s="11"/>
    </row>
    <row r="581" spans="6:14" ht="15.75" customHeight="1" x14ac:dyDescent="0.2">
      <c r="F581" s="11"/>
      <c r="G581" s="11"/>
      <c r="H581" s="11"/>
      <c r="I581" s="11"/>
      <c r="J581" s="11"/>
      <c r="K581" s="11"/>
      <c r="L581" s="11"/>
      <c r="M581" s="11"/>
      <c r="N581" s="11"/>
    </row>
    <row r="582" spans="6:14" ht="15.75" customHeight="1" x14ac:dyDescent="0.2">
      <c r="F582" s="11"/>
      <c r="G582" s="11"/>
      <c r="H582" s="11"/>
      <c r="I582" s="11"/>
      <c r="J582" s="11"/>
      <c r="K582" s="11"/>
      <c r="L582" s="11"/>
      <c r="M582" s="11"/>
      <c r="N582" s="11"/>
    </row>
    <row r="583" spans="6:14" ht="15.75" customHeight="1" x14ac:dyDescent="0.2">
      <c r="F583" s="11"/>
      <c r="G583" s="11"/>
      <c r="H583" s="11"/>
      <c r="I583" s="11"/>
      <c r="J583" s="11"/>
      <c r="K583" s="11"/>
      <c r="L583" s="11"/>
      <c r="M583" s="11"/>
      <c r="N583" s="11"/>
    </row>
    <row r="584" spans="6:14" ht="15.75" customHeight="1" x14ac:dyDescent="0.2">
      <c r="F584" s="11"/>
      <c r="G584" s="11"/>
      <c r="H584" s="11"/>
      <c r="I584" s="11"/>
      <c r="J584" s="11"/>
      <c r="K584" s="11"/>
      <c r="L584" s="11"/>
      <c r="M584" s="11"/>
      <c r="N584" s="11"/>
    </row>
    <row r="585" spans="6:14" ht="15.75" customHeight="1" x14ac:dyDescent="0.2">
      <c r="F585" s="11"/>
      <c r="G585" s="11"/>
      <c r="H585" s="11"/>
      <c r="I585" s="11"/>
      <c r="J585" s="11"/>
      <c r="K585" s="11"/>
      <c r="L585" s="11"/>
      <c r="M585" s="11"/>
      <c r="N585" s="11"/>
    </row>
    <row r="586" spans="6:14" ht="15.75" customHeight="1" x14ac:dyDescent="0.2">
      <c r="F586" s="11"/>
      <c r="G586" s="11"/>
      <c r="H586" s="11"/>
      <c r="I586" s="11"/>
      <c r="J586" s="11"/>
      <c r="K586" s="11"/>
      <c r="L586" s="11"/>
      <c r="M586" s="11"/>
      <c r="N586" s="11"/>
    </row>
    <row r="587" spans="6:14" ht="15.75" customHeight="1" x14ac:dyDescent="0.2">
      <c r="F587" s="11"/>
      <c r="G587" s="11"/>
      <c r="H587" s="11"/>
      <c r="I587" s="11"/>
      <c r="J587" s="11"/>
      <c r="K587" s="11"/>
      <c r="L587" s="11"/>
      <c r="M587" s="11"/>
      <c r="N587" s="11"/>
    </row>
    <row r="588" spans="6:14" ht="15.75" customHeight="1" x14ac:dyDescent="0.2">
      <c r="F588" s="11"/>
      <c r="G588" s="11"/>
      <c r="H588" s="11"/>
      <c r="I588" s="11"/>
      <c r="J588" s="11"/>
      <c r="K588" s="11"/>
      <c r="L588" s="11"/>
      <c r="M588" s="11"/>
      <c r="N588" s="11"/>
    </row>
    <row r="589" spans="6:14" ht="15.75" customHeight="1" x14ac:dyDescent="0.2">
      <c r="F589" s="11"/>
      <c r="G589" s="11"/>
      <c r="H589" s="11"/>
      <c r="I589" s="11"/>
      <c r="J589" s="11"/>
      <c r="K589" s="11"/>
      <c r="L589" s="11"/>
      <c r="M589" s="11"/>
      <c r="N589" s="11"/>
    </row>
    <row r="590" spans="6:14" ht="15.75" customHeight="1" x14ac:dyDescent="0.2">
      <c r="F590" s="11"/>
      <c r="G590" s="11"/>
      <c r="H590" s="11"/>
      <c r="I590" s="11"/>
      <c r="J590" s="11"/>
      <c r="K590" s="11"/>
      <c r="L590" s="11"/>
      <c r="M590" s="11"/>
      <c r="N590" s="11"/>
    </row>
    <row r="591" spans="6:14" ht="15.75" customHeight="1" x14ac:dyDescent="0.2">
      <c r="F591" s="11"/>
      <c r="G591" s="11"/>
      <c r="H591" s="11"/>
      <c r="I591" s="11"/>
      <c r="J591" s="11"/>
      <c r="K591" s="11"/>
      <c r="L591" s="11"/>
      <c r="M591" s="11"/>
      <c r="N591" s="11"/>
    </row>
    <row r="592" spans="6:14" ht="15.75" customHeight="1" x14ac:dyDescent="0.2">
      <c r="F592" s="11"/>
      <c r="G592" s="11"/>
      <c r="H592" s="11"/>
      <c r="I592" s="11"/>
      <c r="J592" s="11"/>
      <c r="K592" s="11"/>
      <c r="L592" s="11"/>
      <c r="M592" s="11"/>
      <c r="N592" s="11"/>
    </row>
    <row r="593" spans="6:14" ht="15.75" customHeight="1" x14ac:dyDescent="0.2">
      <c r="F593" s="11"/>
      <c r="G593" s="11"/>
      <c r="H593" s="11"/>
      <c r="I593" s="11"/>
      <c r="J593" s="11"/>
      <c r="K593" s="11"/>
      <c r="L593" s="11"/>
      <c r="M593" s="11"/>
      <c r="N593" s="11"/>
    </row>
    <row r="594" spans="6:14" ht="15.75" customHeight="1" x14ac:dyDescent="0.2">
      <c r="F594" s="11"/>
      <c r="G594" s="11"/>
      <c r="H594" s="11"/>
      <c r="I594" s="11"/>
      <c r="J594" s="11"/>
      <c r="K594" s="11"/>
      <c r="L594" s="11"/>
      <c r="M594" s="11"/>
      <c r="N594" s="11"/>
    </row>
    <row r="595" spans="6:14" ht="15.75" customHeight="1" x14ac:dyDescent="0.2">
      <c r="F595" s="11"/>
      <c r="G595" s="11"/>
      <c r="H595" s="11"/>
      <c r="I595" s="11"/>
      <c r="J595" s="11"/>
      <c r="K595" s="11"/>
      <c r="L595" s="11"/>
      <c r="M595" s="11"/>
      <c r="N595" s="11"/>
    </row>
    <row r="596" spans="6:14" ht="15.75" customHeight="1" x14ac:dyDescent="0.2">
      <c r="F596" s="11"/>
      <c r="G596" s="11"/>
      <c r="H596" s="11"/>
      <c r="I596" s="11"/>
      <c r="J596" s="11"/>
      <c r="K596" s="11"/>
      <c r="L596" s="11"/>
      <c r="M596" s="11"/>
      <c r="N596" s="11"/>
    </row>
    <row r="597" spans="6:14" ht="15.75" customHeight="1" x14ac:dyDescent="0.2">
      <c r="F597" s="11"/>
      <c r="G597" s="11"/>
      <c r="H597" s="11"/>
      <c r="I597" s="11"/>
      <c r="J597" s="11"/>
      <c r="K597" s="11"/>
      <c r="L597" s="11"/>
      <c r="M597" s="11"/>
      <c r="N597" s="11"/>
    </row>
    <row r="598" spans="6:14" ht="15.75" customHeight="1" x14ac:dyDescent="0.2">
      <c r="F598" s="11"/>
      <c r="G598" s="11"/>
      <c r="H598" s="11"/>
      <c r="I598" s="11"/>
      <c r="J598" s="11"/>
      <c r="K598" s="11"/>
      <c r="L598" s="11"/>
      <c r="M598" s="11"/>
      <c r="N598" s="11"/>
    </row>
    <row r="599" spans="6:14" ht="15.75" customHeight="1" x14ac:dyDescent="0.2">
      <c r="F599" s="11"/>
      <c r="G599" s="11"/>
      <c r="H599" s="11"/>
      <c r="I599" s="11"/>
      <c r="J599" s="11"/>
      <c r="K599" s="11"/>
      <c r="L599" s="11"/>
      <c r="M599" s="11"/>
      <c r="N599" s="11"/>
    </row>
    <row r="600" spans="6:14" ht="15.75" customHeight="1" x14ac:dyDescent="0.2">
      <c r="F600" s="11"/>
      <c r="G600" s="11"/>
      <c r="H600" s="11"/>
      <c r="I600" s="11"/>
      <c r="J600" s="11"/>
      <c r="K600" s="11"/>
      <c r="L600" s="11"/>
      <c r="M600" s="11"/>
      <c r="N600" s="11"/>
    </row>
    <row r="601" spans="6:14" ht="15.75" customHeight="1" x14ac:dyDescent="0.2">
      <c r="F601" s="11"/>
      <c r="G601" s="11"/>
      <c r="H601" s="11"/>
      <c r="I601" s="11"/>
      <c r="J601" s="11"/>
      <c r="K601" s="11"/>
      <c r="L601" s="11"/>
      <c r="M601" s="11"/>
      <c r="N601" s="11"/>
    </row>
    <row r="602" spans="6:14" ht="15.75" customHeight="1" x14ac:dyDescent="0.2">
      <c r="F602" s="11"/>
      <c r="G602" s="11"/>
      <c r="H602" s="11"/>
      <c r="I602" s="11"/>
      <c r="J602" s="11"/>
      <c r="K602" s="11"/>
      <c r="L602" s="11"/>
      <c r="M602" s="11"/>
      <c r="N602" s="11"/>
    </row>
    <row r="603" spans="6:14" ht="15.75" customHeight="1" x14ac:dyDescent="0.2">
      <c r="F603" s="11"/>
      <c r="G603" s="11"/>
      <c r="H603" s="11"/>
      <c r="I603" s="11"/>
      <c r="J603" s="11"/>
      <c r="K603" s="11"/>
      <c r="L603" s="11"/>
      <c r="M603" s="11"/>
      <c r="N603" s="11"/>
    </row>
    <row r="604" spans="6:14" ht="15.75" customHeight="1" x14ac:dyDescent="0.2">
      <c r="F604" s="11"/>
      <c r="G604" s="11"/>
      <c r="H604" s="11"/>
      <c r="I604" s="11"/>
      <c r="J604" s="11"/>
      <c r="K604" s="11"/>
      <c r="L604" s="11"/>
      <c r="M604" s="11"/>
      <c r="N604" s="11"/>
    </row>
    <row r="605" spans="6:14" ht="15.75" customHeight="1" x14ac:dyDescent="0.2">
      <c r="F605" s="11"/>
      <c r="G605" s="11"/>
      <c r="H605" s="11"/>
      <c r="I605" s="11"/>
      <c r="J605" s="11"/>
      <c r="K605" s="11"/>
      <c r="L605" s="11"/>
      <c r="M605" s="11"/>
      <c r="N605" s="11"/>
    </row>
    <row r="606" spans="6:14" ht="15.75" customHeight="1" x14ac:dyDescent="0.2">
      <c r="F606" s="11"/>
      <c r="G606" s="11"/>
      <c r="H606" s="11"/>
      <c r="I606" s="11"/>
      <c r="J606" s="11"/>
      <c r="K606" s="11"/>
      <c r="L606" s="11"/>
      <c r="M606" s="11"/>
      <c r="N606" s="11"/>
    </row>
    <row r="607" spans="6:14" ht="15.75" customHeight="1" x14ac:dyDescent="0.2">
      <c r="F607" s="11"/>
      <c r="G607" s="11"/>
      <c r="H607" s="11"/>
      <c r="I607" s="11"/>
      <c r="J607" s="11"/>
      <c r="K607" s="11"/>
      <c r="L607" s="11"/>
      <c r="M607" s="11"/>
      <c r="N607" s="11"/>
    </row>
    <row r="608" spans="6:14" ht="15.75" customHeight="1" x14ac:dyDescent="0.2">
      <c r="F608" s="11"/>
      <c r="G608" s="11"/>
      <c r="H608" s="11"/>
      <c r="I608" s="11"/>
      <c r="J608" s="11"/>
      <c r="K608" s="11"/>
      <c r="L608" s="11"/>
      <c r="M608" s="11"/>
      <c r="N608" s="11"/>
    </row>
    <row r="609" spans="6:14" ht="15.75" customHeight="1" x14ac:dyDescent="0.2">
      <c r="F609" s="11"/>
      <c r="G609" s="11"/>
      <c r="H609" s="11"/>
      <c r="I609" s="11"/>
      <c r="J609" s="11"/>
      <c r="K609" s="11"/>
      <c r="L609" s="11"/>
      <c r="M609" s="11"/>
      <c r="N609" s="11"/>
    </row>
    <row r="610" spans="6:14" ht="15.75" customHeight="1" x14ac:dyDescent="0.2">
      <c r="F610" s="11"/>
      <c r="G610" s="11"/>
      <c r="H610" s="11"/>
      <c r="I610" s="11"/>
      <c r="J610" s="11"/>
      <c r="K610" s="11"/>
      <c r="L610" s="11"/>
      <c r="M610" s="11"/>
      <c r="N610" s="11"/>
    </row>
    <row r="611" spans="6:14" ht="15.75" customHeight="1" x14ac:dyDescent="0.2">
      <c r="F611" s="11"/>
      <c r="G611" s="11"/>
      <c r="H611" s="11"/>
      <c r="I611" s="11"/>
      <c r="J611" s="11"/>
      <c r="K611" s="11"/>
      <c r="L611" s="11"/>
      <c r="M611" s="11"/>
      <c r="N611" s="11"/>
    </row>
    <row r="612" spans="6:14" ht="15.75" customHeight="1" x14ac:dyDescent="0.2">
      <c r="F612" s="11"/>
      <c r="G612" s="11"/>
      <c r="H612" s="11"/>
      <c r="I612" s="11"/>
      <c r="J612" s="11"/>
      <c r="K612" s="11"/>
      <c r="L612" s="11"/>
      <c r="M612" s="11"/>
      <c r="N612" s="11"/>
    </row>
    <row r="613" spans="6:14" ht="15.75" customHeight="1" x14ac:dyDescent="0.2">
      <c r="F613" s="11"/>
      <c r="G613" s="11"/>
      <c r="H613" s="11"/>
      <c r="I613" s="11"/>
      <c r="J613" s="11"/>
      <c r="K613" s="11"/>
      <c r="L613" s="11"/>
      <c r="M613" s="11"/>
      <c r="N613" s="11"/>
    </row>
    <row r="614" spans="6:14" ht="15.75" customHeight="1" x14ac:dyDescent="0.2">
      <c r="F614" s="11"/>
      <c r="G614" s="11"/>
      <c r="H614" s="11"/>
      <c r="I614" s="11"/>
      <c r="J614" s="11"/>
      <c r="K614" s="11"/>
      <c r="L614" s="11"/>
      <c r="M614" s="11"/>
      <c r="N614" s="11"/>
    </row>
    <row r="615" spans="6:14" ht="15.75" customHeight="1" x14ac:dyDescent="0.2">
      <c r="F615" s="11"/>
      <c r="G615" s="11"/>
      <c r="H615" s="11"/>
      <c r="I615" s="11"/>
      <c r="J615" s="11"/>
      <c r="K615" s="11"/>
      <c r="L615" s="11"/>
      <c r="M615" s="11"/>
      <c r="N615" s="11"/>
    </row>
    <row r="616" spans="6:14" ht="15.75" customHeight="1" x14ac:dyDescent="0.2">
      <c r="F616" s="11"/>
      <c r="G616" s="11"/>
      <c r="H616" s="11"/>
      <c r="I616" s="11"/>
      <c r="J616" s="11"/>
      <c r="K616" s="11"/>
      <c r="L616" s="11"/>
      <c r="M616" s="11"/>
      <c r="N616" s="11"/>
    </row>
    <row r="617" spans="6:14" ht="15.75" customHeight="1" x14ac:dyDescent="0.2">
      <c r="F617" s="11"/>
      <c r="G617" s="11"/>
      <c r="H617" s="11"/>
      <c r="I617" s="11"/>
      <c r="J617" s="11"/>
      <c r="K617" s="11"/>
      <c r="L617" s="11"/>
      <c r="M617" s="11"/>
      <c r="N617" s="11"/>
    </row>
    <row r="618" spans="6:14" ht="15.75" customHeight="1" x14ac:dyDescent="0.2">
      <c r="F618" s="11"/>
      <c r="G618" s="11"/>
      <c r="H618" s="11"/>
      <c r="I618" s="11"/>
      <c r="J618" s="11"/>
      <c r="K618" s="11"/>
      <c r="L618" s="11"/>
      <c r="M618" s="11"/>
      <c r="N618" s="11"/>
    </row>
    <row r="619" spans="6:14" ht="15.75" customHeight="1" x14ac:dyDescent="0.2">
      <c r="F619" s="11"/>
      <c r="G619" s="11"/>
      <c r="H619" s="11"/>
      <c r="I619" s="11"/>
      <c r="J619" s="11"/>
      <c r="K619" s="11"/>
      <c r="L619" s="11"/>
      <c r="M619" s="11"/>
      <c r="N619" s="11"/>
    </row>
    <row r="620" spans="6:14" ht="15.75" customHeight="1" x14ac:dyDescent="0.2">
      <c r="F620" s="11"/>
      <c r="G620" s="11"/>
      <c r="H620" s="11"/>
      <c r="I620" s="11"/>
      <c r="J620" s="11"/>
      <c r="K620" s="11"/>
      <c r="L620" s="11"/>
      <c r="M620" s="11"/>
      <c r="N620" s="11"/>
    </row>
    <row r="621" spans="6:14" ht="15.75" customHeight="1" x14ac:dyDescent="0.2">
      <c r="F621" s="11"/>
      <c r="G621" s="11"/>
      <c r="H621" s="11"/>
      <c r="I621" s="11"/>
      <c r="J621" s="11"/>
      <c r="K621" s="11"/>
      <c r="L621" s="11"/>
      <c r="M621" s="11"/>
      <c r="N621" s="11"/>
    </row>
    <row r="622" spans="6:14" ht="15.75" customHeight="1" x14ac:dyDescent="0.2">
      <c r="F622" s="11"/>
      <c r="G622" s="11"/>
      <c r="H622" s="11"/>
      <c r="I622" s="11"/>
      <c r="J622" s="11"/>
      <c r="K622" s="11"/>
      <c r="L622" s="11"/>
      <c r="M622" s="11"/>
      <c r="N622" s="11"/>
    </row>
    <row r="623" spans="6:14" ht="15.75" customHeight="1" x14ac:dyDescent="0.2">
      <c r="F623" s="11"/>
      <c r="G623" s="11"/>
      <c r="H623" s="11"/>
      <c r="I623" s="11"/>
      <c r="J623" s="11"/>
      <c r="K623" s="11"/>
      <c r="L623" s="11"/>
      <c r="M623" s="11"/>
      <c r="N623" s="11"/>
    </row>
    <row r="624" spans="6:14" ht="15.75" customHeight="1" x14ac:dyDescent="0.2">
      <c r="F624" s="11"/>
      <c r="G624" s="11"/>
      <c r="H624" s="11"/>
      <c r="I624" s="11"/>
      <c r="J624" s="11"/>
      <c r="K624" s="11"/>
      <c r="L624" s="11"/>
      <c r="M624" s="11"/>
      <c r="N624" s="11"/>
    </row>
    <row r="625" spans="6:14" ht="15.75" customHeight="1" x14ac:dyDescent="0.2">
      <c r="F625" s="11"/>
      <c r="G625" s="11"/>
      <c r="H625" s="11"/>
      <c r="I625" s="11"/>
      <c r="J625" s="11"/>
      <c r="K625" s="11"/>
      <c r="L625" s="11"/>
      <c r="M625" s="11"/>
      <c r="N625" s="11"/>
    </row>
    <row r="626" spans="6:14" ht="15.75" customHeight="1" x14ac:dyDescent="0.2">
      <c r="F626" s="11"/>
      <c r="G626" s="11"/>
      <c r="H626" s="11"/>
      <c r="I626" s="11"/>
      <c r="J626" s="11"/>
      <c r="K626" s="11"/>
      <c r="L626" s="11"/>
      <c r="M626" s="11"/>
      <c r="N626" s="11"/>
    </row>
    <row r="627" spans="6:14" ht="15.75" customHeight="1" x14ac:dyDescent="0.2">
      <c r="F627" s="11"/>
      <c r="G627" s="11"/>
      <c r="H627" s="11"/>
      <c r="I627" s="11"/>
      <c r="J627" s="11"/>
      <c r="K627" s="11"/>
      <c r="L627" s="11"/>
      <c r="M627" s="11"/>
      <c r="N627" s="11"/>
    </row>
    <row r="628" spans="6:14" ht="15.75" customHeight="1" x14ac:dyDescent="0.2">
      <c r="F628" s="11"/>
      <c r="G628" s="11"/>
      <c r="H628" s="11"/>
      <c r="I628" s="11"/>
      <c r="J628" s="11"/>
      <c r="K628" s="11"/>
      <c r="L628" s="11"/>
      <c r="M628" s="11"/>
      <c r="N628" s="11"/>
    </row>
    <row r="629" spans="6:14" ht="15.75" customHeight="1" x14ac:dyDescent="0.2">
      <c r="F629" s="11"/>
      <c r="G629" s="11"/>
      <c r="H629" s="11"/>
      <c r="I629" s="11"/>
      <c r="J629" s="11"/>
      <c r="K629" s="11"/>
      <c r="L629" s="11"/>
      <c r="M629" s="11"/>
      <c r="N629" s="11"/>
    </row>
    <row r="630" spans="6:14" ht="15.75" customHeight="1" x14ac:dyDescent="0.2">
      <c r="F630" s="11"/>
      <c r="G630" s="11"/>
      <c r="H630" s="11"/>
      <c r="I630" s="11"/>
      <c r="J630" s="11"/>
      <c r="K630" s="11"/>
      <c r="L630" s="11"/>
      <c r="M630" s="11"/>
      <c r="N630" s="11"/>
    </row>
    <row r="631" spans="6:14" ht="15.75" customHeight="1" x14ac:dyDescent="0.2">
      <c r="F631" s="11"/>
      <c r="G631" s="11"/>
      <c r="H631" s="11"/>
      <c r="I631" s="11"/>
      <c r="J631" s="11"/>
      <c r="K631" s="11"/>
      <c r="L631" s="11"/>
      <c r="M631" s="11"/>
      <c r="N631" s="11"/>
    </row>
    <row r="632" spans="6:14" ht="15.75" customHeight="1" x14ac:dyDescent="0.2">
      <c r="F632" s="11"/>
      <c r="G632" s="11"/>
      <c r="H632" s="11"/>
      <c r="I632" s="11"/>
      <c r="J632" s="11"/>
      <c r="K632" s="11"/>
      <c r="L632" s="11"/>
      <c r="M632" s="11"/>
      <c r="N632" s="11"/>
    </row>
    <row r="633" spans="6:14" ht="15.75" customHeight="1" x14ac:dyDescent="0.2">
      <c r="F633" s="11"/>
      <c r="G633" s="11"/>
      <c r="H633" s="11"/>
      <c r="I633" s="11"/>
      <c r="J633" s="11"/>
      <c r="K633" s="11"/>
      <c r="L633" s="11"/>
      <c r="M633" s="11"/>
      <c r="N633" s="11"/>
    </row>
    <row r="634" spans="6:14" ht="15.75" customHeight="1" x14ac:dyDescent="0.2">
      <c r="F634" s="11"/>
      <c r="G634" s="11"/>
      <c r="H634" s="11"/>
      <c r="I634" s="11"/>
      <c r="J634" s="11"/>
      <c r="K634" s="11"/>
      <c r="L634" s="11"/>
      <c r="M634" s="11"/>
      <c r="N634" s="11"/>
    </row>
    <row r="635" spans="6:14" ht="15.75" customHeight="1" x14ac:dyDescent="0.2">
      <c r="F635" s="11"/>
      <c r="G635" s="11"/>
      <c r="H635" s="11"/>
      <c r="I635" s="11"/>
      <c r="J635" s="11"/>
      <c r="K635" s="11"/>
      <c r="L635" s="11"/>
      <c r="M635" s="11"/>
      <c r="N635" s="11"/>
    </row>
    <row r="636" spans="6:14" ht="15.75" customHeight="1" x14ac:dyDescent="0.2">
      <c r="F636" s="11"/>
      <c r="G636" s="11"/>
      <c r="H636" s="11"/>
      <c r="I636" s="11"/>
      <c r="J636" s="11"/>
      <c r="K636" s="11"/>
      <c r="L636" s="11"/>
      <c r="M636" s="11"/>
      <c r="N636" s="11"/>
    </row>
    <row r="637" spans="6:14" ht="15.75" customHeight="1" x14ac:dyDescent="0.2">
      <c r="F637" s="11"/>
      <c r="G637" s="11"/>
      <c r="H637" s="11"/>
      <c r="I637" s="11"/>
      <c r="J637" s="11"/>
      <c r="K637" s="11"/>
      <c r="L637" s="11"/>
      <c r="M637" s="11"/>
      <c r="N637" s="11"/>
    </row>
    <row r="638" spans="6:14" ht="15.75" customHeight="1" x14ac:dyDescent="0.2">
      <c r="F638" s="11"/>
      <c r="G638" s="11"/>
      <c r="H638" s="11"/>
      <c r="I638" s="11"/>
      <c r="J638" s="11"/>
      <c r="K638" s="11"/>
      <c r="L638" s="11"/>
      <c r="M638" s="11"/>
      <c r="N638" s="11"/>
    </row>
    <row r="639" spans="6:14" ht="15.75" customHeight="1" x14ac:dyDescent="0.2">
      <c r="F639" s="11"/>
      <c r="G639" s="11"/>
      <c r="H639" s="11"/>
      <c r="I639" s="11"/>
      <c r="J639" s="11"/>
      <c r="K639" s="11"/>
      <c r="L639" s="11"/>
      <c r="M639" s="11"/>
      <c r="N639" s="11"/>
    </row>
    <row r="640" spans="6:14" ht="15.75" customHeight="1" x14ac:dyDescent="0.2">
      <c r="F640" s="11"/>
      <c r="G640" s="11"/>
      <c r="H640" s="11"/>
      <c r="I640" s="11"/>
      <c r="J640" s="11"/>
      <c r="K640" s="11"/>
      <c r="L640" s="11"/>
      <c r="M640" s="11"/>
      <c r="N640" s="11"/>
    </row>
    <row r="641" spans="6:14" ht="15.75" customHeight="1" x14ac:dyDescent="0.2">
      <c r="F641" s="11"/>
      <c r="G641" s="11"/>
      <c r="H641" s="11"/>
      <c r="I641" s="11"/>
      <c r="J641" s="11"/>
      <c r="K641" s="11"/>
      <c r="L641" s="11"/>
      <c r="M641" s="11"/>
      <c r="N641" s="11"/>
    </row>
    <row r="642" spans="6:14" ht="15.75" customHeight="1" x14ac:dyDescent="0.2">
      <c r="F642" s="11"/>
      <c r="G642" s="11"/>
      <c r="H642" s="11"/>
      <c r="I642" s="11"/>
      <c r="J642" s="11"/>
      <c r="K642" s="11"/>
      <c r="L642" s="11"/>
      <c r="M642" s="11"/>
      <c r="N642" s="11"/>
    </row>
    <row r="643" spans="6:14" ht="15.75" customHeight="1" x14ac:dyDescent="0.2">
      <c r="F643" s="11"/>
      <c r="G643" s="11"/>
      <c r="H643" s="11"/>
      <c r="I643" s="11"/>
      <c r="J643" s="11"/>
      <c r="K643" s="11"/>
      <c r="L643" s="11"/>
      <c r="M643" s="11"/>
      <c r="N643" s="11"/>
    </row>
    <row r="644" spans="6:14" ht="15.75" customHeight="1" x14ac:dyDescent="0.2">
      <c r="F644" s="11"/>
      <c r="G644" s="11"/>
      <c r="H644" s="11"/>
      <c r="I644" s="11"/>
      <c r="J644" s="11"/>
      <c r="K644" s="11"/>
      <c r="L644" s="11"/>
      <c r="M644" s="11"/>
      <c r="N644" s="11"/>
    </row>
    <row r="645" spans="6:14" ht="15.75" customHeight="1" x14ac:dyDescent="0.2">
      <c r="F645" s="11"/>
      <c r="G645" s="11"/>
      <c r="H645" s="11"/>
      <c r="I645" s="11"/>
      <c r="J645" s="11"/>
      <c r="K645" s="11"/>
      <c r="L645" s="11"/>
      <c r="M645" s="11"/>
      <c r="N645" s="11"/>
    </row>
    <row r="646" spans="6:14" ht="15.75" customHeight="1" x14ac:dyDescent="0.2">
      <c r="F646" s="11"/>
      <c r="G646" s="11"/>
      <c r="H646" s="11"/>
      <c r="I646" s="11"/>
      <c r="J646" s="11"/>
      <c r="K646" s="11"/>
      <c r="L646" s="11"/>
      <c r="M646" s="11"/>
      <c r="N646" s="11"/>
    </row>
    <row r="647" spans="6:14" ht="15.75" customHeight="1" x14ac:dyDescent="0.2">
      <c r="F647" s="11"/>
      <c r="G647" s="11"/>
      <c r="H647" s="11"/>
      <c r="I647" s="11"/>
      <c r="J647" s="11"/>
      <c r="K647" s="11"/>
      <c r="L647" s="11"/>
      <c r="M647" s="11"/>
      <c r="N647" s="11"/>
    </row>
    <row r="648" spans="6:14" ht="15.75" customHeight="1" x14ac:dyDescent="0.2">
      <c r="F648" s="11"/>
      <c r="G648" s="11"/>
      <c r="H648" s="11"/>
      <c r="I648" s="11"/>
      <c r="J648" s="11"/>
      <c r="K648" s="11"/>
      <c r="L648" s="11"/>
      <c r="M648" s="11"/>
      <c r="N648" s="11"/>
    </row>
    <row r="649" spans="6:14" ht="15.75" customHeight="1" x14ac:dyDescent="0.2">
      <c r="F649" s="11"/>
      <c r="G649" s="11"/>
      <c r="H649" s="11"/>
      <c r="I649" s="11"/>
      <c r="J649" s="11"/>
      <c r="K649" s="11"/>
      <c r="L649" s="11"/>
      <c r="M649" s="11"/>
      <c r="N649" s="11"/>
    </row>
    <row r="650" spans="6:14" ht="15.75" customHeight="1" x14ac:dyDescent="0.2">
      <c r="F650" s="11"/>
      <c r="G650" s="11"/>
      <c r="H650" s="11"/>
      <c r="I650" s="11"/>
      <c r="J650" s="11"/>
      <c r="K650" s="11"/>
      <c r="L650" s="11"/>
      <c r="M650" s="11"/>
      <c r="N650" s="11"/>
    </row>
    <row r="651" spans="6:14" ht="15.75" customHeight="1" x14ac:dyDescent="0.2">
      <c r="F651" s="11"/>
      <c r="G651" s="11"/>
      <c r="H651" s="11"/>
      <c r="I651" s="11"/>
      <c r="J651" s="11"/>
      <c r="K651" s="11"/>
      <c r="L651" s="11"/>
      <c r="M651" s="11"/>
      <c r="N651" s="11"/>
    </row>
    <row r="652" spans="6:14" ht="15.75" customHeight="1" x14ac:dyDescent="0.2">
      <c r="F652" s="11"/>
      <c r="G652" s="11"/>
      <c r="H652" s="11"/>
      <c r="I652" s="11"/>
      <c r="J652" s="11"/>
      <c r="K652" s="11"/>
      <c r="L652" s="11"/>
      <c r="M652" s="11"/>
      <c r="N652" s="11"/>
    </row>
    <row r="653" spans="6:14" ht="15.75" customHeight="1" x14ac:dyDescent="0.2">
      <c r="F653" s="11"/>
      <c r="G653" s="11"/>
      <c r="H653" s="11"/>
      <c r="I653" s="11"/>
      <c r="J653" s="11"/>
      <c r="K653" s="11"/>
      <c r="L653" s="11"/>
      <c r="M653" s="11"/>
      <c r="N653" s="11"/>
    </row>
    <row r="654" spans="6:14" ht="15.75" customHeight="1" x14ac:dyDescent="0.2">
      <c r="F654" s="11"/>
      <c r="G654" s="11"/>
      <c r="H654" s="11"/>
      <c r="I654" s="11"/>
      <c r="J654" s="11"/>
      <c r="K654" s="11"/>
      <c r="L654" s="11"/>
      <c r="M654" s="11"/>
      <c r="N654" s="11"/>
    </row>
    <row r="655" spans="6:14" ht="15.75" customHeight="1" x14ac:dyDescent="0.2">
      <c r="F655" s="11"/>
      <c r="G655" s="11"/>
      <c r="H655" s="11"/>
      <c r="I655" s="11"/>
      <c r="J655" s="11"/>
      <c r="K655" s="11"/>
      <c r="L655" s="11"/>
      <c r="M655" s="11"/>
      <c r="N655" s="11"/>
    </row>
    <row r="656" spans="6:14" ht="15.75" customHeight="1" x14ac:dyDescent="0.2">
      <c r="F656" s="11"/>
      <c r="G656" s="11"/>
      <c r="H656" s="11"/>
      <c r="I656" s="11"/>
      <c r="J656" s="11"/>
      <c r="K656" s="11"/>
      <c r="L656" s="11"/>
      <c r="M656" s="11"/>
      <c r="N656" s="11"/>
    </row>
    <row r="657" spans="6:14" ht="15.75" customHeight="1" x14ac:dyDescent="0.2">
      <c r="F657" s="11"/>
      <c r="G657" s="11"/>
      <c r="H657" s="11"/>
      <c r="I657" s="11"/>
      <c r="J657" s="11"/>
      <c r="K657" s="11"/>
      <c r="L657" s="11"/>
      <c r="M657" s="11"/>
      <c r="N657" s="11"/>
    </row>
    <row r="658" spans="6:14" ht="15.75" customHeight="1" x14ac:dyDescent="0.2">
      <c r="F658" s="11"/>
      <c r="G658" s="11"/>
      <c r="H658" s="11"/>
      <c r="I658" s="11"/>
      <c r="J658" s="11"/>
      <c r="K658" s="11"/>
      <c r="L658" s="11"/>
      <c r="M658" s="11"/>
      <c r="N658" s="11"/>
    </row>
    <row r="659" spans="6:14" ht="15.75" customHeight="1" x14ac:dyDescent="0.2">
      <c r="F659" s="11"/>
      <c r="G659" s="11"/>
      <c r="H659" s="11"/>
      <c r="I659" s="11"/>
      <c r="J659" s="11"/>
      <c r="K659" s="11"/>
      <c r="L659" s="11"/>
      <c r="M659" s="11"/>
      <c r="N659" s="11"/>
    </row>
    <row r="660" spans="6:14" ht="15.75" customHeight="1" x14ac:dyDescent="0.2">
      <c r="F660" s="11"/>
      <c r="G660" s="11"/>
      <c r="H660" s="11"/>
      <c r="I660" s="11"/>
      <c r="J660" s="11"/>
      <c r="K660" s="11"/>
      <c r="L660" s="11"/>
      <c r="M660" s="11"/>
      <c r="N660" s="11"/>
    </row>
    <row r="661" spans="6:14" ht="15.75" customHeight="1" x14ac:dyDescent="0.2">
      <c r="F661" s="11"/>
      <c r="G661" s="11"/>
      <c r="H661" s="11"/>
      <c r="I661" s="11"/>
      <c r="J661" s="11"/>
      <c r="K661" s="11"/>
      <c r="L661" s="11"/>
      <c r="M661" s="11"/>
      <c r="N661" s="11"/>
    </row>
    <row r="662" spans="6:14" ht="15.75" customHeight="1" x14ac:dyDescent="0.2">
      <c r="F662" s="11"/>
      <c r="G662" s="11"/>
      <c r="H662" s="11"/>
      <c r="I662" s="11"/>
      <c r="J662" s="11"/>
      <c r="K662" s="11"/>
      <c r="L662" s="11"/>
      <c r="M662" s="11"/>
      <c r="N662" s="11"/>
    </row>
    <row r="663" spans="6:14" ht="15.75" customHeight="1" x14ac:dyDescent="0.2">
      <c r="F663" s="11"/>
      <c r="G663" s="11"/>
      <c r="H663" s="11"/>
      <c r="I663" s="11"/>
      <c r="J663" s="11"/>
      <c r="K663" s="11"/>
      <c r="L663" s="11"/>
      <c r="M663" s="11"/>
      <c r="N663" s="11"/>
    </row>
    <row r="664" spans="6:14" ht="15.75" customHeight="1" x14ac:dyDescent="0.2">
      <c r="F664" s="11"/>
      <c r="G664" s="11"/>
      <c r="H664" s="11"/>
      <c r="I664" s="11"/>
      <c r="J664" s="11"/>
      <c r="K664" s="11"/>
      <c r="L664" s="11"/>
      <c r="M664" s="11"/>
      <c r="N664" s="11"/>
    </row>
    <row r="665" spans="6:14" ht="15.75" customHeight="1" x14ac:dyDescent="0.2">
      <c r="F665" s="11"/>
      <c r="G665" s="11"/>
      <c r="H665" s="11"/>
      <c r="I665" s="11"/>
      <c r="J665" s="11"/>
      <c r="K665" s="11"/>
      <c r="L665" s="11"/>
      <c r="M665" s="11"/>
      <c r="N665" s="11"/>
    </row>
    <row r="666" spans="6:14" ht="15.75" customHeight="1" x14ac:dyDescent="0.2">
      <c r="F666" s="11"/>
      <c r="G666" s="11"/>
      <c r="H666" s="11"/>
      <c r="I666" s="11"/>
      <c r="J666" s="11"/>
      <c r="K666" s="11"/>
      <c r="L666" s="11"/>
      <c r="M666" s="11"/>
      <c r="N666" s="11"/>
    </row>
    <row r="667" spans="6:14" ht="15.75" customHeight="1" x14ac:dyDescent="0.2">
      <c r="F667" s="11"/>
      <c r="G667" s="11"/>
      <c r="H667" s="11"/>
      <c r="I667" s="11"/>
      <c r="J667" s="11"/>
      <c r="K667" s="11"/>
      <c r="L667" s="11"/>
      <c r="M667" s="11"/>
      <c r="N667" s="11"/>
    </row>
    <row r="668" spans="6:14" ht="15.75" customHeight="1" x14ac:dyDescent="0.2">
      <c r="F668" s="11"/>
      <c r="G668" s="11"/>
      <c r="H668" s="11"/>
      <c r="I668" s="11"/>
      <c r="J668" s="11"/>
      <c r="K668" s="11"/>
      <c r="L668" s="11"/>
      <c r="M668" s="11"/>
      <c r="N668" s="11"/>
    </row>
    <row r="669" spans="6:14" ht="15.75" customHeight="1" x14ac:dyDescent="0.2">
      <c r="F669" s="11"/>
      <c r="G669" s="11"/>
      <c r="H669" s="11"/>
      <c r="I669" s="11"/>
      <c r="J669" s="11"/>
      <c r="K669" s="11"/>
      <c r="L669" s="11"/>
      <c r="M669" s="11"/>
      <c r="N669" s="11"/>
    </row>
    <row r="670" spans="6:14" ht="15.75" customHeight="1" x14ac:dyDescent="0.2">
      <c r="F670" s="11"/>
      <c r="G670" s="11"/>
      <c r="H670" s="11"/>
      <c r="I670" s="11"/>
      <c r="J670" s="11"/>
      <c r="K670" s="11"/>
      <c r="L670" s="11"/>
      <c r="M670" s="11"/>
      <c r="N670" s="11"/>
    </row>
    <row r="671" spans="6:14" ht="15.75" customHeight="1" x14ac:dyDescent="0.2">
      <c r="F671" s="11"/>
      <c r="G671" s="11"/>
      <c r="H671" s="11"/>
      <c r="I671" s="11"/>
      <c r="J671" s="11"/>
      <c r="K671" s="11"/>
      <c r="L671" s="11"/>
      <c r="M671" s="11"/>
      <c r="N671" s="11"/>
    </row>
    <row r="672" spans="6:14" ht="15.75" customHeight="1" x14ac:dyDescent="0.2">
      <c r="F672" s="11"/>
      <c r="G672" s="11"/>
      <c r="H672" s="11"/>
      <c r="I672" s="11"/>
      <c r="J672" s="11"/>
      <c r="K672" s="11"/>
      <c r="L672" s="11"/>
      <c r="M672" s="11"/>
      <c r="N672" s="11"/>
    </row>
    <row r="673" spans="6:14" ht="15.75" customHeight="1" x14ac:dyDescent="0.2">
      <c r="F673" s="11"/>
      <c r="G673" s="11"/>
      <c r="H673" s="11"/>
      <c r="I673" s="11"/>
      <c r="J673" s="11"/>
      <c r="K673" s="11"/>
      <c r="L673" s="11"/>
      <c r="M673" s="11"/>
      <c r="N673" s="11"/>
    </row>
    <row r="674" spans="6:14" ht="15.75" customHeight="1" x14ac:dyDescent="0.2">
      <c r="F674" s="11"/>
      <c r="G674" s="11"/>
      <c r="H674" s="11"/>
      <c r="I674" s="11"/>
      <c r="J674" s="11"/>
      <c r="K674" s="11"/>
      <c r="L674" s="11"/>
      <c r="M674" s="11"/>
      <c r="N674" s="11"/>
    </row>
    <row r="675" spans="6:14" ht="15.75" customHeight="1" x14ac:dyDescent="0.2">
      <c r="F675" s="11"/>
      <c r="G675" s="11"/>
      <c r="H675" s="11"/>
      <c r="I675" s="11"/>
      <c r="J675" s="11"/>
      <c r="K675" s="11"/>
      <c r="L675" s="11"/>
      <c r="M675" s="11"/>
      <c r="N675" s="11"/>
    </row>
    <row r="676" spans="6:14" ht="15.75" customHeight="1" x14ac:dyDescent="0.2">
      <c r="F676" s="11"/>
      <c r="G676" s="11"/>
      <c r="H676" s="11"/>
      <c r="I676" s="11"/>
      <c r="J676" s="11"/>
      <c r="K676" s="11"/>
      <c r="L676" s="11"/>
      <c r="M676" s="11"/>
      <c r="N676" s="11"/>
    </row>
    <row r="677" spans="6:14" ht="15.75" customHeight="1" x14ac:dyDescent="0.2">
      <c r="F677" s="11"/>
      <c r="G677" s="11"/>
      <c r="H677" s="11"/>
      <c r="I677" s="11"/>
      <c r="J677" s="11"/>
      <c r="K677" s="11"/>
      <c r="L677" s="11"/>
      <c r="M677" s="11"/>
      <c r="N677" s="11"/>
    </row>
    <row r="678" spans="6:14" ht="15.75" customHeight="1" x14ac:dyDescent="0.2">
      <c r="F678" s="11"/>
      <c r="G678" s="11"/>
      <c r="H678" s="11"/>
      <c r="I678" s="11"/>
      <c r="J678" s="11"/>
      <c r="K678" s="11"/>
      <c r="L678" s="11"/>
      <c r="M678" s="11"/>
      <c r="N678" s="11"/>
    </row>
    <row r="679" spans="6:14" ht="15.75" customHeight="1" x14ac:dyDescent="0.2">
      <c r="F679" s="11"/>
      <c r="G679" s="11"/>
      <c r="H679" s="11"/>
      <c r="I679" s="11"/>
      <c r="J679" s="11"/>
      <c r="K679" s="11"/>
      <c r="L679" s="11"/>
      <c r="M679" s="11"/>
      <c r="N679" s="11"/>
    </row>
    <row r="680" spans="6:14" ht="15.75" customHeight="1" x14ac:dyDescent="0.2">
      <c r="F680" s="11"/>
      <c r="G680" s="11"/>
      <c r="H680" s="11"/>
      <c r="I680" s="11"/>
      <c r="J680" s="11"/>
      <c r="K680" s="11"/>
      <c r="L680" s="11"/>
      <c r="M680" s="11"/>
      <c r="N680" s="11"/>
    </row>
    <row r="681" spans="6:14" ht="15.75" customHeight="1" x14ac:dyDescent="0.2">
      <c r="F681" s="11"/>
      <c r="G681" s="11"/>
      <c r="H681" s="11"/>
      <c r="I681" s="11"/>
      <c r="J681" s="11"/>
      <c r="K681" s="11"/>
      <c r="L681" s="11"/>
      <c r="M681" s="11"/>
      <c r="N681" s="11"/>
    </row>
    <row r="682" spans="6:14" ht="15.75" customHeight="1" x14ac:dyDescent="0.2">
      <c r="F682" s="11"/>
      <c r="G682" s="11"/>
      <c r="H682" s="11"/>
      <c r="I682" s="11"/>
      <c r="J682" s="11"/>
      <c r="K682" s="11"/>
      <c r="L682" s="11"/>
      <c r="M682" s="11"/>
      <c r="N682" s="11"/>
    </row>
    <row r="683" spans="6:14" ht="15.75" customHeight="1" x14ac:dyDescent="0.2">
      <c r="F683" s="11"/>
      <c r="G683" s="11"/>
      <c r="H683" s="11"/>
      <c r="I683" s="11"/>
      <c r="J683" s="11"/>
      <c r="K683" s="11"/>
      <c r="L683" s="11"/>
      <c r="M683" s="11"/>
      <c r="N683" s="11"/>
    </row>
    <row r="684" spans="6:14" ht="15.75" customHeight="1" x14ac:dyDescent="0.2">
      <c r="F684" s="11"/>
      <c r="G684" s="11"/>
      <c r="H684" s="11"/>
      <c r="I684" s="11"/>
      <c r="J684" s="11"/>
      <c r="K684" s="11"/>
      <c r="L684" s="11"/>
      <c r="M684" s="11"/>
      <c r="N684" s="11"/>
    </row>
    <row r="685" spans="6:14" ht="15.75" customHeight="1" x14ac:dyDescent="0.2">
      <c r="F685" s="11"/>
      <c r="G685" s="11"/>
      <c r="H685" s="11"/>
      <c r="I685" s="11"/>
      <c r="J685" s="11"/>
      <c r="K685" s="11"/>
      <c r="L685" s="11"/>
      <c r="M685" s="11"/>
      <c r="N685" s="11"/>
    </row>
    <row r="686" spans="6:14" ht="15.75" customHeight="1" x14ac:dyDescent="0.2">
      <c r="F686" s="11"/>
      <c r="G686" s="11"/>
      <c r="H686" s="11"/>
      <c r="I686" s="11"/>
      <c r="J686" s="11"/>
      <c r="K686" s="11"/>
      <c r="L686" s="11"/>
      <c r="M686" s="11"/>
      <c r="N686" s="11"/>
    </row>
    <row r="687" spans="6:14" ht="15.75" customHeight="1" x14ac:dyDescent="0.2">
      <c r="F687" s="11"/>
      <c r="G687" s="11"/>
      <c r="H687" s="11"/>
      <c r="I687" s="11"/>
      <c r="J687" s="11"/>
      <c r="K687" s="11"/>
      <c r="L687" s="11"/>
      <c r="M687" s="11"/>
      <c r="N687" s="11"/>
    </row>
    <row r="688" spans="6:14" ht="15.75" customHeight="1" x14ac:dyDescent="0.2">
      <c r="F688" s="11"/>
      <c r="G688" s="11"/>
      <c r="H688" s="11"/>
      <c r="I688" s="11"/>
      <c r="J688" s="11"/>
      <c r="K688" s="11"/>
      <c r="L688" s="11"/>
      <c r="M688" s="11"/>
      <c r="N688" s="11"/>
    </row>
    <row r="689" spans="6:14" ht="15.75" customHeight="1" x14ac:dyDescent="0.2">
      <c r="F689" s="11"/>
      <c r="G689" s="11"/>
      <c r="H689" s="11"/>
      <c r="I689" s="11"/>
      <c r="J689" s="11"/>
      <c r="K689" s="11"/>
      <c r="L689" s="11"/>
      <c r="M689" s="11"/>
      <c r="N689" s="11"/>
    </row>
    <row r="690" spans="6:14" ht="15.75" customHeight="1" x14ac:dyDescent="0.2">
      <c r="F690" s="11"/>
      <c r="G690" s="11"/>
      <c r="H690" s="11"/>
      <c r="I690" s="11"/>
      <c r="J690" s="11"/>
      <c r="K690" s="11"/>
      <c r="L690" s="11"/>
      <c r="M690" s="11"/>
      <c r="N690" s="11"/>
    </row>
    <row r="691" spans="6:14" ht="15.75" customHeight="1" x14ac:dyDescent="0.2">
      <c r="F691" s="11"/>
      <c r="G691" s="11"/>
      <c r="H691" s="11"/>
      <c r="I691" s="11"/>
      <c r="J691" s="11"/>
      <c r="K691" s="11"/>
      <c r="L691" s="11"/>
      <c r="M691" s="11"/>
      <c r="N691" s="11"/>
    </row>
    <row r="692" spans="6:14" ht="15.75" customHeight="1" x14ac:dyDescent="0.2">
      <c r="F692" s="11"/>
      <c r="G692" s="11"/>
      <c r="H692" s="11"/>
      <c r="I692" s="11"/>
      <c r="J692" s="11"/>
      <c r="K692" s="11"/>
      <c r="L692" s="11"/>
      <c r="M692" s="11"/>
      <c r="N692" s="11"/>
    </row>
    <row r="693" spans="6:14" ht="15.75" customHeight="1" x14ac:dyDescent="0.2">
      <c r="F693" s="11"/>
      <c r="G693" s="11"/>
      <c r="H693" s="11"/>
      <c r="I693" s="11"/>
      <c r="J693" s="11"/>
      <c r="K693" s="11"/>
      <c r="L693" s="11"/>
      <c r="M693" s="11"/>
      <c r="N693" s="11"/>
    </row>
    <row r="694" spans="6:14" ht="15.75" customHeight="1" x14ac:dyDescent="0.2">
      <c r="F694" s="11"/>
      <c r="G694" s="11"/>
      <c r="H694" s="11"/>
      <c r="I694" s="11"/>
      <c r="J694" s="11"/>
      <c r="K694" s="11"/>
      <c r="L694" s="11"/>
      <c r="M694" s="11"/>
      <c r="N694" s="11"/>
    </row>
    <row r="695" spans="6:14" ht="15.75" customHeight="1" x14ac:dyDescent="0.2">
      <c r="F695" s="11"/>
      <c r="G695" s="11"/>
      <c r="H695" s="11"/>
      <c r="I695" s="11"/>
      <c r="J695" s="11"/>
      <c r="K695" s="11"/>
      <c r="L695" s="11"/>
      <c r="M695" s="11"/>
      <c r="N695" s="11"/>
    </row>
    <row r="696" spans="6:14" ht="15.75" customHeight="1" x14ac:dyDescent="0.2">
      <c r="F696" s="11"/>
      <c r="G696" s="11"/>
      <c r="H696" s="11"/>
      <c r="I696" s="11"/>
      <c r="J696" s="11"/>
      <c r="K696" s="11"/>
      <c r="L696" s="11"/>
      <c r="M696" s="11"/>
      <c r="N696" s="11"/>
    </row>
    <row r="697" spans="6:14" ht="15.75" customHeight="1" x14ac:dyDescent="0.2">
      <c r="F697" s="11"/>
      <c r="G697" s="11"/>
      <c r="H697" s="11"/>
      <c r="I697" s="11"/>
      <c r="J697" s="11"/>
      <c r="K697" s="11"/>
      <c r="L697" s="11"/>
      <c r="M697" s="11"/>
      <c r="N697" s="11"/>
    </row>
    <row r="698" spans="6:14" ht="15.75" customHeight="1" x14ac:dyDescent="0.2">
      <c r="F698" s="11"/>
      <c r="G698" s="11"/>
      <c r="H698" s="11"/>
      <c r="I698" s="11"/>
      <c r="J698" s="11"/>
      <c r="K698" s="11"/>
      <c r="L698" s="11"/>
      <c r="M698" s="11"/>
      <c r="N698" s="11"/>
    </row>
    <row r="699" spans="6:14" ht="15.75" customHeight="1" x14ac:dyDescent="0.2">
      <c r="F699" s="11"/>
      <c r="G699" s="11"/>
      <c r="H699" s="11"/>
      <c r="I699" s="11"/>
      <c r="J699" s="11"/>
      <c r="K699" s="11"/>
      <c r="L699" s="11"/>
      <c r="M699" s="11"/>
      <c r="N699" s="11"/>
    </row>
    <row r="700" spans="6:14" ht="15.75" customHeight="1" x14ac:dyDescent="0.2">
      <c r="F700" s="11"/>
      <c r="G700" s="11"/>
      <c r="H700" s="11"/>
      <c r="I700" s="11"/>
      <c r="J700" s="11"/>
      <c r="K700" s="11"/>
      <c r="L700" s="11"/>
      <c r="M700" s="11"/>
      <c r="N700" s="11"/>
    </row>
    <row r="701" spans="6:14" ht="15.75" customHeight="1" x14ac:dyDescent="0.2">
      <c r="F701" s="11"/>
      <c r="G701" s="11"/>
      <c r="H701" s="11"/>
      <c r="I701" s="11"/>
      <c r="J701" s="11"/>
      <c r="K701" s="11"/>
      <c r="L701" s="11"/>
      <c r="M701" s="11"/>
      <c r="N701" s="11"/>
    </row>
    <row r="702" spans="6:14" ht="15.75" customHeight="1" x14ac:dyDescent="0.2">
      <c r="F702" s="11"/>
      <c r="G702" s="11"/>
      <c r="H702" s="11"/>
      <c r="I702" s="11"/>
      <c r="J702" s="11"/>
      <c r="K702" s="11"/>
      <c r="L702" s="11"/>
      <c r="M702" s="11"/>
      <c r="N702" s="11"/>
    </row>
    <row r="703" spans="6:14" ht="15.75" customHeight="1" x14ac:dyDescent="0.2">
      <c r="F703" s="11"/>
      <c r="G703" s="11"/>
      <c r="H703" s="11"/>
      <c r="I703" s="11"/>
      <c r="J703" s="11"/>
      <c r="K703" s="11"/>
      <c r="L703" s="11"/>
      <c r="M703" s="11"/>
      <c r="N703" s="11"/>
    </row>
    <row r="704" spans="6:14" ht="15.75" customHeight="1" x14ac:dyDescent="0.2">
      <c r="F704" s="11"/>
      <c r="G704" s="11"/>
      <c r="H704" s="11"/>
      <c r="I704" s="11"/>
      <c r="J704" s="11"/>
      <c r="K704" s="11"/>
      <c r="L704" s="11"/>
      <c r="M704" s="11"/>
      <c r="N704" s="11"/>
    </row>
    <row r="705" spans="6:14" ht="15.75" customHeight="1" x14ac:dyDescent="0.2">
      <c r="F705" s="11"/>
      <c r="G705" s="11"/>
      <c r="H705" s="11"/>
      <c r="I705" s="11"/>
      <c r="J705" s="11"/>
      <c r="K705" s="11"/>
      <c r="L705" s="11"/>
      <c r="M705" s="11"/>
      <c r="N705" s="11"/>
    </row>
    <row r="706" spans="6:14" ht="15.75" customHeight="1" x14ac:dyDescent="0.2">
      <c r="F706" s="11"/>
      <c r="G706" s="11"/>
      <c r="H706" s="11"/>
      <c r="I706" s="11"/>
      <c r="J706" s="11"/>
      <c r="K706" s="11"/>
      <c r="L706" s="11"/>
      <c r="M706" s="11"/>
      <c r="N706" s="11"/>
    </row>
    <row r="707" spans="6:14" ht="15.75" customHeight="1" x14ac:dyDescent="0.2">
      <c r="F707" s="11"/>
      <c r="G707" s="11"/>
      <c r="H707" s="11"/>
      <c r="I707" s="11"/>
      <c r="J707" s="11"/>
      <c r="K707" s="11"/>
      <c r="L707" s="11"/>
      <c r="M707" s="11"/>
      <c r="N707" s="11"/>
    </row>
    <row r="708" spans="6:14" ht="15.75" customHeight="1" x14ac:dyDescent="0.2">
      <c r="F708" s="11"/>
      <c r="G708" s="11"/>
      <c r="H708" s="11"/>
      <c r="I708" s="11"/>
      <c r="J708" s="11"/>
      <c r="K708" s="11"/>
      <c r="L708" s="11"/>
      <c r="M708" s="11"/>
      <c r="N708" s="11"/>
    </row>
    <row r="709" spans="6:14" ht="15.75" customHeight="1" x14ac:dyDescent="0.2">
      <c r="F709" s="11"/>
      <c r="G709" s="11"/>
      <c r="H709" s="11"/>
      <c r="I709" s="11"/>
      <c r="J709" s="11"/>
      <c r="K709" s="11"/>
      <c r="L709" s="11"/>
      <c r="M709" s="11"/>
      <c r="N709" s="11"/>
    </row>
    <row r="710" spans="6:14" ht="15.75" customHeight="1" x14ac:dyDescent="0.2">
      <c r="F710" s="11"/>
      <c r="G710" s="11"/>
      <c r="H710" s="11"/>
      <c r="I710" s="11"/>
      <c r="J710" s="11"/>
      <c r="K710" s="11"/>
      <c r="L710" s="11"/>
      <c r="M710" s="11"/>
      <c r="N710" s="11"/>
    </row>
    <row r="711" spans="6:14" ht="15.75" customHeight="1" x14ac:dyDescent="0.2">
      <c r="F711" s="11"/>
      <c r="G711" s="11"/>
      <c r="H711" s="11"/>
      <c r="I711" s="11"/>
      <c r="J711" s="11"/>
      <c r="K711" s="11"/>
      <c r="L711" s="11"/>
      <c r="M711" s="11"/>
      <c r="N711" s="11"/>
    </row>
    <row r="712" spans="6:14" ht="15.75" customHeight="1" x14ac:dyDescent="0.2">
      <c r="F712" s="11"/>
      <c r="G712" s="11"/>
      <c r="H712" s="11"/>
      <c r="I712" s="11"/>
      <c r="J712" s="11"/>
      <c r="K712" s="11"/>
      <c r="L712" s="11"/>
      <c r="M712" s="11"/>
      <c r="N712" s="11"/>
    </row>
    <row r="713" spans="6:14" ht="15.75" customHeight="1" x14ac:dyDescent="0.2">
      <c r="F713" s="11"/>
      <c r="G713" s="11"/>
      <c r="H713" s="11"/>
      <c r="I713" s="11"/>
      <c r="J713" s="11"/>
      <c r="K713" s="11"/>
      <c r="L713" s="11"/>
      <c r="M713" s="11"/>
      <c r="N713" s="11"/>
    </row>
    <row r="714" spans="6:14" ht="15.75" customHeight="1" x14ac:dyDescent="0.2">
      <c r="F714" s="11"/>
      <c r="G714" s="11"/>
      <c r="H714" s="11"/>
      <c r="I714" s="11"/>
      <c r="J714" s="11"/>
      <c r="K714" s="11"/>
      <c r="L714" s="11"/>
      <c r="M714" s="11"/>
      <c r="N714" s="11"/>
    </row>
    <row r="715" spans="6:14" ht="15.75" customHeight="1" x14ac:dyDescent="0.2">
      <c r="F715" s="11"/>
      <c r="G715" s="11"/>
      <c r="H715" s="11"/>
      <c r="I715" s="11"/>
      <c r="J715" s="11"/>
      <c r="K715" s="11"/>
      <c r="L715" s="11"/>
      <c r="M715" s="11"/>
      <c r="N715" s="11"/>
    </row>
    <row r="716" spans="6:14" ht="15.75" customHeight="1" x14ac:dyDescent="0.2">
      <c r="F716" s="11"/>
      <c r="G716" s="11"/>
      <c r="H716" s="11"/>
      <c r="I716" s="11"/>
      <c r="J716" s="11"/>
      <c r="K716" s="11"/>
      <c r="L716" s="11"/>
      <c r="M716" s="11"/>
      <c r="N716" s="11"/>
    </row>
    <row r="717" spans="6:14" ht="15.75" customHeight="1" x14ac:dyDescent="0.2">
      <c r="F717" s="11"/>
      <c r="G717" s="11"/>
      <c r="H717" s="11"/>
      <c r="I717" s="11"/>
      <c r="J717" s="11"/>
      <c r="K717" s="11"/>
      <c r="L717" s="11"/>
      <c r="M717" s="11"/>
      <c r="N717" s="11"/>
    </row>
    <row r="718" spans="6:14" ht="15.75" customHeight="1" x14ac:dyDescent="0.2">
      <c r="F718" s="11"/>
      <c r="G718" s="11"/>
      <c r="H718" s="11"/>
      <c r="I718" s="11"/>
      <c r="J718" s="11"/>
      <c r="K718" s="11"/>
      <c r="L718" s="11"/>
      <c r="M718" s="11"/>
      <c r="N718" s="11"/>
    </row>
    <row r="719" spans="6:14" ht="15.75" customHeight="1" x14ac:dyDescent="0.2">
      <c r="F719" s="11"/>
      <c r="G719" s="11"/>
      <c r="H719" s="11"/>
      <c r="I719" s="11"/>
      <c r="J719" s="11"/>
      <c r="K719" s="11"/>
      <c r="L719" s="11"/>
      <c r="M719" s="11"/>
      <c r="N719" s="11"/>
    </row>
    <row r="720" spans="6:14" ht="15.75" customHeight="1" x14ac:dyDescent="0.2">
      <c r="F720" s="11"/>
      <c r="G720" s="11"/>
      <c r="H720" s="11"/>
      <c r="I720" s="11"/>
      <c r="J720" s="11"/>
      <c r="K720" s="11"/>
      <c r="L720" s="11"/>
      <c r="M720" s="11"/>
      <c r="N720" s="11"/>
    </row>
    <row r="721" spans="6:14" ht="15.75" customHeight="1" x14ac:dyDescent="0.2">
      <c r="F721" s="11"/>
      <c r="G721" s="11"/>
      <c r="H721" s="11"/>
      <c r="I721" s="11"/>
      <c r="J721" s="11"/>
      <c r="K721" s="11"/>
      <c r="L721" s="11"/>
      <c r="M721" s="11"/>
      <c r="N721" s="11"/>
    </row>
    <row r="722" spans="6:14" ht="15.75" customHeight="1" x14ac:dyDescent="0.2">
      <c r="F722" s="11"/>
      <c r="G722" s="11"/>
      <c r="H722" s="11"/>
      <c r="I722" s="11"/>
      <c r="J722" s="11"/>
      <c r="K722" s="11"/>
      <c r="L722" s="11"/>
      <c r="M722" s="11"/>
      <c r="N722" s="11"/>
    </row>
    <row r="723" spans="6:14" ht="15.75" customHeight="1" x14ac:dyDescent="0.2">
      <c r="F723" s="11"/>
      <c r="G723" s="11"/>
      <c r="H723" s="11"/>
      <c r="I723" s="11"/>
      <c r="J723" s="11"/>
      <c r="K723" s="11"/>
      <c r="L723" s="11"/>
      <c r="M723" s="11"/>
      <c r="N723" s="11"/>
    </row>
    <row r="724" spans="6:14" ht="15.75" customHeight="1" x14ac:dyDescent="0.2">
      <c r="F724" s="11"/>
      <c r="G724" s="11"/>
      <c r="H724" s="11"/>
      <c r="I724" s="11"/>
      <c r="J724" s="11"/>
      <c r="K724" s="11"/>
      <c r="L724" s="11"/>
      <c r="M724" s="11"/>
      <c r="N724" s="11"/>
    </row>
    <row r="725" spans="6:14" ht="15.75" customHeight="1" x14ac:dyDescent="0.2">
      <c r="F725" s="11"/>
      <c r="G725" s="11"/>
      <c r="H725" s="11"/>
      <c r="I725" s="11"/>
      <c r="J725" s="11"/>
      <c r="K725" s="11"/>
      <c r="L725" s="11"/>
      <c r="M725" s="11"/>
      <c r="N725" s="11"/>
    </row>
    <row r="726" spans="6:14" ht="15.75" customHeight="1" x14ac:dyDescent="0.2">
      <c r="F726" s="11"/>
      <c r="G726" s="11"/>
      <c r="H726" s="11"/>
      <c r="I726" s="11"/>
      <c r="J726" s="11"/>
      <c r="K726" s="11"/>
      <c r="L726" s="11"/>
      <c r="M726" s="11"/>
      <c r="N726" s="11"/>
    </row>
    <row r="727" spans="6:14" ht="15.75" customHeight="1" x14ac:dyDescent="0.2">
      <c r="F727" s="11"/>
      <c r="G727" s="11"/>
      <c r="H727" s="11"/>
      <c r="I727" s="11"/>
      <c r="J727" s="11"/>
      <c r="K727" s="11"/>
      <c r="L727" s="11"/>
      <c r="M727" s="11"/>
      <c r="N727" s="11"/>
    </row>
    <row r="728" spans="6:14" ht="15.75" customHeight="1" x14ac:dyDescent="0.2">
      <c r="F728" s="11"/>
      <c r="G728" s="11"/>
      <c r="H728" s="11"/>
      <c r="I728" s="11"/>
      <c r="J728" s="11"/>
      <c r="K728" s="11"/>
      <c r="L728" s="11"/>
      <c r="M728" s="11"/>
      <c r="N728" s="11"/>
    </row>
    <row r="729" spans="6:14" ht="15.75" customHeight="1" x14ac:dyDescent="0.2">
      <c r="F729" s="11"/>
      <c r="G729" s="11"/>
      <c r="H729" s="11"/>
      <c r="I729" s="11"/>
      <c r="J729" s="11"/>
      <c r="K729" s="11"/>
      <c r="L729" s="11"/>
      <c r="M729" s="11"/>
      <c r="N729" s="11"/>
    </row>
    <row r="730" spans="6:14" ht="15.75" customHeight="1" x14ac:dyDescent="0.2">
      <c r="F730" s="11"/>
      <c r="G730" s="11"/>
      <c r="H730" s="11"/>
      <c r="I730" s="11"/>
      <c r="J730" s="11"/>
      <c r="K730" s="11"/>
      <c r="L730" s="11"/>
      <c r="M730" s="11"/>
      <c r="N730" s="11"/>
    </row>
    <row r="731" spans="6:14" ht="15.75" customHeight="1" x14ac:dyDescent="0.2">
      <c r="F731" s="11"/>
      <c r="G731" s="11"/>
      <c r="H731" s="11"/>
      <c r="I731" s="11"/>
      <c r="J731" s="11"/>
      <c r="K731" s="11"/>
      <c r="L731" s="11"/>
      <c r="M731" s="11"/>
      <c r="N731" s="11"/>
    </row>
    <row r="732" spans="6:14" ht="15.75" customHeight="1" x14ac:dyDescent="0.2">
      <c r="F732" s="11"/>
      <c r="G732" s="11"/>
      <c r="H732" s="11"/>
      <c r="I732" s="11"/>
      <c r="J732" s="11"/>
      <c r="K732" s="11"/>
      <c r="L732" s="11"/>
      <c r="M732" s="11"/>
      <c r="N732" s="11"/>
    </row>
    <row r="733" spans="6:14" ht="15.75" customHeight="1" x14ac:dyDescent="0.2">
      <c r="F733" s="11"/>
      <c r="G733" s="11"/>
      <c r="H733" s="11"/>
      <c r="I733" s="11"/>
      <c r="J733" s="11"/>
      <c r="K733" s="11"/>
      <c r="L733" s="11"/>
      <c r="M733" s="11"/>
      <c r="N733" s="11"/>
    </row>
    <row r="734" spans="6:14" ht="15.75" customHeight="1" x14ac:dyDescent="0.2">
      <c r="F734" s="11"/>
      <c r="G734" s="11"/>
      <c r="H734" s="11"/>
      <c r="I734" s="11"/>
      <c r="J734" s="11"/>
      <c r="K734" s="11"/>
      <c r="L734" s="11"/>
      <c r="M734" s="11"/>
      <c r="N734" s="11"/>
    </row>
    <row r="735" spans="6:14" ht="15.75" customHeight="1" x14ac:dyDescent="0.2">
      <c r="F735" s="11"/>
      <c r="G735" s="11"/>
      <c r="H735" s="11"/>
      <c r="I735" s="11"/>
      <c r="J735" s="11"/>
      <c r="K735" s="11"/>
      <c r="L735" s="11"/>
      <c r="M735" s="11"/>
      <c r="N735" s="11"/>
    </row>
    <row r="736" spans="6:14" ht="15.75" customHeight="1" x14ac:dyDescent="0.2">
      <c r="F736" s="11"/>
      <c r="G736" s="11"/>
      <c r="H736" s="11"/>
      <c r="I736" s="11"/>
      <c r="J736" s="11"/>
      <c r="K736" s="11"/>
      <c r="L736" s="11"/>
      <c r="M736" s="11"/>
      <c r="N736" s="11"/>
    </row>
    <row r="737" spans="6:14" ht="15.75" customHeight="1" x14ac:dyDescent="0.2">
      <c r="F737" s="11"/>
      <c r="G737" s="11"/>
      <c r="H737" s="11"/>
      <c r="I737" s="11"/>
      <c r="J737" s="11"/>
      <c r="K737" s="11"/>
      <c r="L737" s="11"/>
      <c r="M737" s="11"/>
      <c r="N737" s="11"/>
    </row>
    <row r="738" spans="6:14" ht="15.75" customHeight="1" x14ac:dyDescent="0.2">
      <c r="F738" s="11"/>
      <c r="G738" s="11"/>
      <c r="H738" s="11"/>
      <c r="I738" s="11"/>
      <c r="J738" s="11"/>
      <c r="K738" s="11"/>
      <c r="L738" s="11"/>
      <c r="M738" s="11"/>
      <c r="N738" s="11"/>
    </row>
    <row r="739" spans="6:14" ht="15.75" customHeight="1" x14ac:dyDescent="0.2">
      <c r="F739" s="11"/>
      <c r="G739" s="11"/>
      <c r="H739" s="11"/>
      <c r="I739" s="11"/>
      <c r="J739" s="11"/>
      <c r="K739" s="11"/>
      <c r="L739" s="11"/>
      <c r="M739" s="11"/>
      <c r="N739" s="11"/>
    </row>
    <row r="740" spans="6:14" ht="15.75" customHeight="1" x14ac:dyDescent="0.2">
      <c r="F740" s="11"/>
      <c r="G740" s="11"/>
      <c r="H740" s="11"/>
      <c r="I740" s="11"/>
      <c r="J740" s="11"/>
      <c r="K740" s="11"/>
      <c r="L740" s="11"/>
      <c r="M740" s="11"/>
      <c r="N740" s="11"/>
    </row>
    <row r="741" spans="6:14" ht="15.75" customHeight="1" x14ac:dyDescent="0.2">
      <c r="F741" s="11"/>
      <c r="G741" s="11"/>
      <c r="H741" s="11"/>
      <c r="I741" s="11"/>
      <c r="J741" s="11"/>
      <c r="K741" s="11"/>
      <c r="L741" s="11"/>
      <c r="M741" s="11"/>
      <c r="N741" s="11"/>
    </row>
    <row r="742" spans="6:14" ht="15.75" customHeight="1" x14ac:dyDescent="0.2">
      <c r="F742" s="11"/>
      <c r="G742" s="11"/>
      <c r="H742" s="11"/>
      <c r="I742" s="11"/>
      <c r="J742" s="11"/>
      <c r="K742" s="11"/>
      <c r="L742" s="11"/>
      <c r="M742" s="11"/>
      <c r="N742" s="11"/>
    </row>
    <row r="743" spans="6:14" ht="15.75" customHeight="1" x14ac:dyDescent="0.2">
      <c r="F743" s="11"/>
      <c r="G743" s="11"/>
      <c r="H743" s="11"/>
      <c r="I743" s="11"/>
      <c r="J743" s="11"/>
      <c r="K743" s="11"/>
      <c r="L743" s="11"/>
      <c r="M743" s="11"/>
      <c r="N743" s="11"/>
    </row>
    <row r="744" spans="6:14" ht="15.75" customHeight="1" x14ac:dyDescent="0.2">
      <c r="F744" s="11"/>
      <c r="G744" s="11"/>
      <c r="H744" s="11"/>
      <c r="I744" s="11"/>
      <c r="J744" s="11"/>
      <c r="K744" s="11"/>
      <c r="L744" s="11"/>
      <c r="M744" s="11"/>
      <c r="N744" s="11"/>
    </row>
    <row r="745" spans="6:14" ht="15.75" customHeight="1" x14ac:dyDescent="0.2">
      <c r="F745" s="11"/>
      <c r="G745" s="11"/>
      <c r="H745" s="11"/>
      <c r="I745" s="11"/>
      <c r="J745" s="11"/>
      <c r="K745" s="11"/>
      <c r="L745" s="11"/>
      <c r="M745" s="11"/>
      <c r="N745" s="11"/>
    </row>
    <row r="746" spans="6:14" ht="15.75" customHeight="1" x14ac:dyDescent="0.2">
      <c r="F746" s="11"/>
      <c r="G746" s="11"/>
      <c r="H746" s="11"/>
      <c r="I746" s="11"/>
      <c r="J746" s="11"/>
      <c r="K746" s="11"/>
      <c r="L746" s="11"/>
      <c r="M746" s="11"/>
      <c r="N746" s="11"/>
    </row>
    <row r="747" spans="6:14" ht="15.75" customHeight="1" x14ac:dyDescent="0.2">
      <c r="F747" s="11"/>
      <c r="G747" s="11"/>
      <c r="H747" s="11"/>
      <c r="I747" s="11"/>
      <c r="J747" s="11"/>
      <c r="K747" s="11"/>
      <c r="L747" s="11"/>
      <c r="M747" s="11"/>
      <c r="N747" s="11"/>
    </row>
    <row r="748" spans="6:14" ht="15.75" customHeight="1" x14ac:dyDescent="0.2">
      <c r="F748" s="11"/>
      <c r="G748" s="11"/>
      <c r="H748" s="11"/>
      <c r="I748" s="11"/>
      <c r="J748" s="11"/>
      <c r="K748" s="11"/>
      <c r="L748" s="11"/>
      <c r="M748" s="11"/>
      <c r="N748" s="11"/>
    </row>
    <row r="749" spans="6:14" ht="15.75" customHeight="1" x14ac:dyDescent="0.2">
      <c r="F749" s="11"/>
      <c r="G749" s="11"/>
      <c r="H749" s="11"/>
      <c r="I749" s="11"/>
      <c r="J749" s="11"/>
      <c r="K749" s="11"/>
      <c r="L749" s="11"/>
      <c r="M749" s="11"/>
      <c r="N749" s="11"/>
    </row>
    <row r="750" spans="6:14" ht="15.75" customHeight="1" x14ac:dyDescent="0.2">
      <c r="F750" s="11"/>
      <c r="G750" s="11"/>
      <c r="H750" s="11"/>
      <c r="I750" s="11"/>
      <c r="J750" s="11"/>
      <c r="K750" s="11"/>
      <c r="L750" s="11"/>
      <c r="M750" s="11"/>
      <c r="N750" s="11"/>
    </row>
    <row r="751" spans="6:14" ht="15.75" customHeight="1" x14ac:dyDescent="0.2">
      <c r="F751" s="11"/>
      <c r="G751" s="11"/>
      <c r="H751" s="11"/>
      <c r="I751" s="11"/>
      <c r="J751" s="11"/>
      <c r="K751" s="11"/>
      <c r="L751" s="11"/>
      <c r="M751" s="11"/>
      <c r="N751" s="11"/>
    </row>
    <row r="752" spans="6:14" ht="15.75" customHeight="1" x14ac:dyDescent="0.2">
      <c r="F752" s="11"/>
      <c r="G752" s="11"/>
      <c r="H752" s="11"/>
      <c r="I752" s="11"/>
      <c r="J752" s="11"/>
      <c r="K752" s="11"/>
      <c r="L752" s="11"/>
      <c r="M752" s="11"/>
      <c r="N752" s="11"/>
    </row>
    <row r="753" spans="6:14" ht="15.75" customHeight="1" x14ac:dyDescent="0.2">
      <c r="F753" s="11"/>
      <c r="G753" s="11"/>
      <c r="H753" s="11"/>
      <c r="I753" s="11"/>
      <c r="J753" s="11"/>
      <c r="K753" s="11"/>
      <c r="L753" s="11"/>
      <c r="M753" s="11"/>
      <c r="N753" s="11"/>
    </row>
    <row r="754" spans="6:14" ht="15.75" customHeight="1" x14ac:dyDescent="0.2">
      <c r="F754" s="11"/>
      <c r="G754" s="11"/>
      <c r="H754" s="11"/>
      <c r="I754" s="11"/>
      <c r="J754" s="11"/>
      <c r="K754" s="11"/>
      <c r="L754" s="11"/>
      <c r="M754" s="11"/>
      <c r="N754" s="11"/>
    </row>
    <row r="755" spans="6:14" ht="15.75" customHeight="1" x14ac:dyDescent="0.2">
      <c r="F755" s="11"/>
      <c r="G755" s="11"/>
      <c r="H755" s="11"/>
      <c r="I755" s="11"/>
      <c r="J755" s="11"/>
      <c r="K755" s="11"/>
      <c r="L755" s="11"/>
      <c r="M755" s="11"/>
      <c r="N755" s="11"/>
    </row>
    <row r="756" spans="6:14" ht="15.75" customHeight="1" x14ac:dyDescent="0.2">
      <c r="F756" s="11"/>
      <c r="G756" s="11"/>
      <c r="H756" s="11"/>
      <c r="I756" s="11"/>
      <c r="J756" s="11"/>
      <c r="K756" s="11"/>
      <c r="L756" s="11"/>
      <c r="M756" s="11"/>
      <c r="N756" s="11"/>
    </row>
    <row r="757" spans="6:14" ht="15.75" customHeight="1" x14ac:dyDescent="0.2">
      <c r="F757" s="11"/>
      <c r="G757" s="11"/>
      <c r="H757" s="11"/>
      <c r="I757" s="11"/>
      <c r="J757" s="11"/>
      <c r="K757" s="11"/>
      <c r="L757" s="11"/>
      <c r="M757" s="11"/>
      <c r="N757" s="11"/>
    </row>
    <row r="758" spans="6:14" ht="15.75" customHeight="1" x14ac:dyDescent="0.2">
      <c r="F758" s="11"/>
      <c r="G758" s="11"/>
      <c r="H758" s="11"/>
      <c r="I758" s="11"/>
      <c r="J758" s="11"/>
      <c r="K758" s="11"/>
      <c r="L758" s="11"/>
      <c r="M758" s="11"/>
      <c r="N758" s="11"/>
    </row>
    <row r="759" spans="6:14" ht="15.75" customHeight="1" x14ac:dyDescent="0.2">
      <c r="F759" s="11"/>
      <c r="G759" s="11"/>
      <c r="H759" s="11"/>
      <c r="I759" s="11"/>
      <c r="J759" s="11"/>
      <c r="K759" s="11"/>
      <c r="L759" s="11"/>
      <c r="M759" s="11"/>
      <c r="N759" s="11"/>
    </row>
    <row r="760" spans="6:14" ht="15.75" customHeight="1" x14ac:dyDescent="0.2">
      <c r="F760" s="11"/>
      <c r="G760" s="11"/>
      <c r="H760" s="11"/>
      <c r="I760" s="11"/>
      <c r="J760" s="11"/>
      <c r="K760" s="11"/>
      <c r="L760" s="11"/>
      <c r="M760" s="11"/>
      <c r="N760" s="11"/>
    </row>
    <row r="761" spans="6:14" ht="15.75" customHeight="1" x14ac:dyDescent="0.2">
      <c r="F761" s="11"/>
      <c r="G761" s="11"/>
      <c r="H761" s="11"/>
      <c r="I761" s="11"/>
      <c r="J761" s="11"/>
      <c r="K761" s="11"/>
      <c r="L761" s="11"/>
      <c r="M761" s="11"/>
      <c r="N761" s="11"/>
    </row>
    <row r="762" spans="6:14" ht="15.75" customHeight="1" x14ac:dyDescent="0.2">
      <c r="F762" s="11"/>
      <c r="G762" s="11"/>
      <c r="H762" s="11"/>
      <c r="I762" s="11"/>
      <c r="J762" s="11"/>
      <c r="K762" s="11"/>
      <c r="L762" s="11"/>
      <c r="M762" s="11"/>
      <c r="N762" s="11"/>
    </row>
    <row r="763" spans="6:14" ht="15.75" customHeight="1" x14ac:dyDescent="0.2">
      <c r="F763" s="11"/>
      <c r="G763" s="11"/>
      <c r="H763" s="11"/>
      <c r="I763" s="11"/>
      <c r="J763" s="11"/>
      <c r="K763" s="11"/>
      <c r="L763" s="11"/>
      <c r="M763" s="11"/>
      <c r="N763" s="11"/>
    </row>
    <row r="764" spans="6:14" ht="15.75" customHeight="1" x14ac:dyDescent="0.2">
      <c r="F764" s="11"/>
      <c r="G764" s="11"/>
      <c r="H764" s="11"/>
      <c r="I764" s="11"/>
      <c r="J764" s="11"/>
      <c r="K764" s="11"/>
      <c r="L764" s="11"/>
      <c r="M764" s="11"/>
      <c r="N764" s="11"/>
    </row>
    <row r="765" spans="6:14" ht="15.75" customHeight="1" x14ac:dyDescent="0.2">
      <c r="F765" s="11"/>
      <c r="G765" s="11"/>
      <c r="H765" s="11"/>
      <c r="I765" s="11"/>
      <c r="J765" s="11"/>
      <c r="K765" s="11"/>
      <c r="L765" s="11"/>
      <c r="M765" s="11"/>
      <c r="N765" s="11"/>
    </row>
    <row r="766" spans="6:14" ht="15.75" customHeight="1" x14ac:dyDescent="0.2">
      <c r="F766" s="11"/>
      <c r="G766" s="11"/>
      <c r="H766" s="11"/>
      <c r="I766" s="11"/>
      <c r="J766" s="11"/>
      <c r="K766" s="11"/>
      <c r="L766" s="11"/>
      <c r="M766" s="11"/>
      <c r="N766" s="11"/>
    </row>
    <row r="767" spans="6:14" ht="15.75" customHeight="1" x14ac:dyDescent="0.2">
      <c r="F767" s="11"/>
      <c r="G767" s="11"/>
      <c r="H767" s="11"/>
      <c r="I767" s="11"/>
      <c r="J767" s="11"/>
      <c r="K767" s="11"/>
      <c r="L767" s="11"/>
      <c r="M767" s="11"/>
      <c r="N767" s="11"/>
    </row>
    <row r="768" spans="6:14" ht="15.75" customHeight="1" x14ac:dyDescent="0.2">
      <c r="F768" s="11"/>
      <c r="G768" s="11"/>
      <c r="H768" s="11"/>
      <c r="I768" s="11"/>
      <c r="J768" s="11"/>
      <c r="K768" s="11"/>
      <c r="L768" s="11"/>
      <c r="M768" s="11"/>
      <c r="N768" s="11"/>
    </row>
    <row r="769" spans="6:14" ht="15.75" customHeight="1" x14ac:dyDescent="0.2">
      <c r="F769" s="11"/>
      <c r="G769" s="11"/>
      <c r="H769" s="11"/>
      <c r="I769" s="11"/>
      <c r="J769" s="11"/>
      <c r="K769" s="11"/>
      <c r="L769" s="11"/>
      <c r="M769" s="11"/>
      <c r="N769" s="11"/>
    </row>
    <row r="770" spans="6:14" ht="15.75" customHeight="1" x14ac:dyDescent="0.2">
      <c r="F770" s="11"/>
      <c r="G770" s="11"/>
      <c r="H770" s="11"/>
      <c r="I770" s="11"/>
      <c r="J770" s="11"/>
      <c r="K770" s="11"/>
      <c r="L770" s="11"/>
      <c r="M770" s="11"/>
      <c r="N770" s="11"/>
    </row>
    <row r="771" spans="6:14" ht="15.75" customHeight="1" x14ac:dyDescent="0.2">
      <c r="F771" s="11"/>
      <c r="G771" s="11"/>
      <c r="H771" s="11"/>
      <c r="I771" s="11"/>
      <c r="J771" s="11"/>
      <c r="K771" s="11"/>
      <c r="L771" s="11"/>
      <c r="M771" s="11"/>
      <c r="N771" s="11"/>
    </row>
    <row r="772" spans="6:14" ht="15.75" customHeight="1" x14ac:dyDescent="0.2">
      <c r="F772" s="11"/>
      <c r="G772" s="11"/>
      <c r="H772" s="11"/>
      <c r="I772" s="11"/>
      <c r="J772" s="11"/>
      <c r="K772" s="11"/>
      <c r="L772" s="11"/>
      <c r="M772" s="11"/>
      <c r="N772" s="11"/>
    </row>
    <row r="773" spans="6:14" ht="15.75" customHeight="1" x14ac:dyDescent="0.2">
      <c r="F773" s="11"/>
      <c r="G773" s="11"/>
      <c r="H773" s="11"/>
      <c r="I773" s="11"/>
      <c r="J773" s="11"/>
      <c r="K773" s="11"/>
      <c r="L773" s="11"/>
      <c r="M773" s="11"/>
      <c r="N773" s="11"/>
    </row>
    <row r="774" spans="6:14" ht="15.75" customHeight="1" x14ac:dyDescent="0.2">
      <c r="F774" s="11"/>
      <c r="G774" s="11"/>
      <c r="H774" s="11"/>
      <c r="I774" s="11"/>
      <c r="J774" s="11"/>
      <c r="K774" s="11"/>
      <c r="L774" s="11"/>
      <c r="M774" s="11"/>
      <c r="N774" s="11"/>
    </row>
    <row r="775" spans="6:14" ht="15.75" customHeight="1" x14ac:dyDescent="0.2">
      <c r="F775" s="11"/>
      <c r="G775" s="11"/>
      <c r="H775" s="11"/>
      <c r="I775" s="11"/>
      <c r="J775" s="11"/>
      <c r="K775" s="11"/>
      <c r="L775" s="11"/>
      <c r="M775" s="11"/>
      <c r="N775" s="11"/>
    </row>
    <row r="776" spans="6:14" ht="15.75" customHeight="1" x14ac:dyDescent="0.2">
      <c r="F776" s="11"/>
      <c r="G776" s="11"/>
      <c r="H776" s="11"/>
      <c r="I776" s="11"/>
      <c r="J776" s="11"/>
      <c r="K776" s="11"/>
      <c r="L776" s="11"/>
      <c r="M776" s="11"/>
      <c r="N776" s="11"/>
    </row>
    <row r="777" spans="6:14" ht="15.75" customHeight="1" x14ac:dyDescent="0.2">
      <c r="F777" s="11"/>
      <c r="G777" s="11"/>
      <c r="H777" s="11"/>
      <c r="I777" s="11"/>
      <c r="J777" s="11"/>
      <c r="K777" s="11"/>
      <c r="L777" s="11"/>
      <c r="M777" s="11"/>
      <c r="N777" s="11"/>
    </row>
    <row r="778" spans="6:14" ht="15.75" customHeight="1" x14ac:dyDescent="0.2">
      <c r="F778" s="11"/>
      <c r="G778" s="11"/>
      <c r="H778" s="11"/>
      <c r="I778" s="11"/>
      <c r="J778" s="11"/>
      <c r="K778" s="11"/>
      <c r="L778" s="11"/>
      <c r="M778" s="11"/>
      <c r="N778" s="11"/>
    </row>
    <row r="779" spans="6:14" ht="15.75" customHeight="1" x14ac:dyDescent="0.2">
      <c r="F779" s="11"/>
      <c r="G779" s="11"/>
      <c r="H779" s="11"/>
      <c r="I779" s="11"/>
      <c r="J779" s="11"/>
      <c r="K779" s="11"/>
      <c r="L779" s="11"/>
      <c r="M779" s="11"/>
      <c r="N779" s="11"/>
    </row>
    <row r="780" spans="6:14" ht="15.75" customHeight="1" x14ac:dyDescent="0.2">
      <c r="F780" s="11"/>
      <c r="G780" s="11"/>
      <c r="H780" s="11"/>
      <c r="I780" s="11"/>
      <c r="J780" s="11"/>
      <c r="K780" s="11"/>
      <c r="L780" s="11"/>
      <c r="M780" s="11"/>
      <c r="N780" s="11"/>
    </row>
    <row r="781" spans="6:14" ht="15.75" customHeight="1" x14ac:dyDescent="0.2">
      <c r="F781" s="11"/>
      <c r="G781" s="11"/>
      <c r="H781" s="11"/>
      <c r="I781" s="11"/>
      <c r="J781" s="11"/>
      <c r="K781" s="11"/>
      <c r="L781" s="11"/>
      <c r="M781" s="11"/>
      <c r="N781" s="11"/>
    </row>
    <row r="782" spans="6:14" ht="15.75" customHeight="1" x14ac:dyDescent="0.2">
      <c r="F782" s="11"/>
      <c r="G782" s="11"/>
      <c r="H782" s="11"/>
      <c r="I782" s="11"/>
      <c r="J782" s="11"/>
      <c r="K782" s="11"/>
      <c r="L782" s="11"/>
      <c r="M782" s="11"/>
      <c r="N782" s="11"/>
    </row>
    <row r="783" spans="6:14" ht="15.75" customHeight="1" x14ac:dyDescent="0.2">
      <c r="F783" s="11"/>
      <c r="G783" s="11"/>
      <c r="H783" s="11"/>
      <c r="I783" s="11"/>
      <c r="J783" s="11"/>
      <c r="K783" s="11"/>
      <c r="L783" s="11"/>
      <c r="M783" s="11"/>
      <c r="N783" s="11"/>
    </row>
    <row r="784" spans="6:14" ht="15.75" customHeight="1" x14ac:dyDescent="0.2">
      <c r="F784" s="11"/>
      <c r="G784" s="11"/>
      <c r="H784" s="11"/>
      <c r="I784" s="11"/>
      <c r="J784" s="11"/>
      <c r="K784" s="11"/>
      <c r="L784" s="11"/>
      <c r="M784" s="11"/>
      <c r="N784" s="11"/>
    </row>
    <row r="785" spans="6:14" ht="15.75" customHeight="1" x14ac:dyDescent="0.2">
      <c r="F785" s="11"/>
      <c r="G785" s="11"/>
      <c r="H785" s="11"/>
      <c r="I785" s="11"/>
      <c r="J785" s="11"/>
      <c r="K785" s="11"/>
      <c r="L785" s="11"/>
      <c r="M785" s="11"/>
      <c r="N785" s="11"/>
    </row>
    <row r="786" spans="6:14" ht="15.75" customHeight="1" x14ac:dyDescent="0.2">
      <c r="F786" s="11"/>
      <c r="G786" s="11"/>
      <c r="H786" s="11"/>
      <c r="I786" s="11"/>
      <c r="J786" s="11"/>
      <c r="K786" s="11"/>
      <c r="L786" s="11"/>
      <c r="M786" s="11"/>
      <c r="N786" s="11"/>
    </row>
    <row r="787" spans="6:14" ht="15.75" customHeight="1" x14ac:dyDescent="0.2">
      <c r="F787" s="11"/>
      <c r="G787" s="11"/>
      <c r="H787" s="11"/>
      <c r="I787" s="11"/>
      <c r="J787" s="11"/>
      <c r="K787" s="11"/>
      <c r="L787" s="11"/>
      <c r="M787" s="11"/>
      <c r="N787" s="11"/>
    </row>
    <row r="788" spans="6:14" ht="15.75" customHeight="1" x14ac:dyDescent="0.2">
      <c r="F788" s="11"/>
      <c r="G788" s="11"/>
      <c r="H788" s="11"/>
      <c r="I788" s="11"/>
      <c r="J788" s="11"/>
      <c r="K788" s="11"/>
      <c r="L788" s="11"/>
      <c r="M788" s="11"/>
      <c r="N788" s="11"/>
    </row>
    <row r="789" spans="6:14" ht="15.75" customHeight="1" x14ac:dyDescent="0.2">
      <c r="F789" s="11"/>
      <c r="G789" s="11"/>
      <c r="H789" s="11"/>
      <c r="I789" s="11"/>
      <c r="J789" s="11"/>
      <c r="K789" s="11"/>
      <c r="L789" s="11"/>
      <c r="M789" s="11"/>
      <c r="N789" s="11"/>
    </row>
    <row r="790" spans="6:14" ht="15.75" customHeight="1" x14ac:dyDescent="0.2">
      <c r="F790" s="11"/>
      <c r="G790" s="11"/>
      <c r="H790" s="11"/>
      <c r="I790" s="11"/>
      <c r="J790" s="11"/>
      <c r="K790" s="11"/>
      <c r="L790" s="11"/>
      <c r="M790" s="11"/>
      <c r="N790" s="11"/>
    </row>
    <row r="791" spans="6:14" ht="15.75" customHeight="1" x14ac:dyDescent="0.2">
      <c r="F791" s="11"/>
      <c r="G791" s="11"/>
      <c r="H791" s="11"/>
      <c r="I791" s="11"/>
      <c r="J791" s="11"/>
      <c r="K791" s="11"/>
      <c r="L791" s="11"/>
      <c r="M791" s="11"/>
      <c r="N791" s="11"/>
    </row>
    <row r="792" spans="6:14" ht="15.75" customHeight="1" x14ac:dyDescent="0.2">
      <c r="F792" s="11"/>
      <c r="G792" s="11"/>
      <c r="H792" s="11"/>
      <c r="I792" s="11"/>
      <c r="J792" s="11"/>
      <c r="K792" s="11"/>
      <c r="L792" s="11"/>
      <c r="M792" s="11"/>
      <c r="N792" s="11"/>
    </row>
    <row r="793" spans="6:14" ht="15.75" customHeight="1" x14ac:dyDescent="0.2">
      <c r="F793" s="11"/>
      <c r="G793" s="11"/>
      <c r="H793" s="11"/>
      <c r="I793" s="11"/>
      <c r="J793" s="11"/>
      <c r="K793" s="11"/>
      <c r="L793" s="11"/>
      <c r="M793" s="11"/>
      <c r="N793" s="11"/>
    </row>
    <row r="794" spans="6:14" ht="15.75" customHeight="1" x14ac:dyDescent="0.2">
      <c r="F794" s="11"/>
      <c r="G794" s="11"/>
      <c r="H794" s="11"/>
      <c r="I794" s="11"/>
      <c r="J794" s="11"/>
      <c r="K794" s="11"/>
      <c r="L794" s="11"/>
      <c r="M794" s="11"/>
      <c r="N794" s="11"/>
    </row>
    <row r="795" spans="6:14" ht="15.75" customHeight="1" x14ac:dyDescent="0.2">
      <c r="F795" s="11"/>
      <c r="G795" s="11"/>
      <c r="H795" s="11"/>
      <c r="I795" s="11"/>
      <c r="J795" s="11"/>
      <c r="K795" s="11"/>
      <c r="L795" s="11"/>
      <c r="M795" s="11"/>
      <c r="N795" s="11"/>
    </row>
    <row r="796" spans="6:14" ht="15.75" customHeight="1" x14ac:dyDescent="0.2">
      <c r="F796" s="11"/>
      <c r="G796" s="11"/>
      <c r="H796" s="11"/>
      <c r="I796" s="11"/>
      <c r="J796" s="11"/>
      <c r="K796" s="11"/>
      <c r="L796" s="11"/>
      <c r="M796" s="11"/>
      <c r="N796" s="11"/>
    </row>
    <row r="797" spans="6:14" ht="15.75" customHeight="1" x14ac:dyDescent="0.2">
      <c r="F797" s="11"/>
      <c r="G797" s="11"/>
      <c r="H797" s="11"/>
      <c r="I797" s="11"/>
      <c r="J797" s="11"/>
      <c r="K797" s="11"/>
      <c r="L797" s="11"/>
      <c r="M797" s="11"/>
      <c r="N797" s="11"/>
    </row>
    <row r="798" spans="6:14" ht="15.75" customHeight="1" x14ac:dyDescent="0.2">
      <c r="F798" s="11"/>
      <c r="G798" s="11"/>
      <c r="H798" s="11"/>
      <c r="I798" s="11"/>
      <c r="J798" s="11"/>
      <c r="K798" s="11"/>
      <c r="L798" s="11"/>
      <c r="M798" s="11"/>
      <c r="N798" s="11"/>
    </row>
    <row r="799" spans="6:14" ht="15.75" customHeight="1" x14ac:dyDescent="0.2">
      <c r="F799" s="11"/>
      <c r="G799" s="11"/>
      <c r="H799" s="11"/>
      <c r="I799" s="11"/>
      <c r="J799" s="11"/>
      <c r="K799" s="11"/>
      <c r="L799" s="11"/>
      <c r="M799" s="11"/>
      <c r="N799" s="11"/>
    </row>
    <row r="800" spans="6:14" ht="15.75" customHeight="1" x14ac:dyDescent="0.2">
      <c r="F800" s="11"/>
      <c r="G800" s="11"/>
      <c r="H800" s="11"/>
      <c r="I800" s="11"/>
      <c r="J800" s="11"/>
      <c r="K800" s="11"/>
      <c r="L800" s="11"/>
      <c r="M800" s="11"/>
      <c r="N800" s="11"/>
    </row>
    <row r="801" spans="6:14" ht="15.75" customHeight="1" x14ac:dyDescent="0.2">
      <c r="F801" s="11"/>
      <c r="G801" s="11"/>
      <c r="H801" s="11"/>
      <c r="I801" s="11"/>
      <c r="J801" s="11"/>
      <c r="K801" s="11"/>
      <c r="L801" s="11"/>
      <c r="M801" s="11"/>
      <c r="N801" s="11"/>
    </row>
    <row r="802" spans="6:14" ht="15.75" customHeight="1" x14ac:dyDescent="0.2">
      <c r="F802" s="11"/>
      <c r="G802" s="11"/>
      <c r="H802" s="11"/>
      <c r="I802" s="11"/>
      <c r="J802" s="11"/>
      <c r="K802" s="11"/>
      <c r="L802" s="11"/>
      <c r="M802" s="11"/>
      <c r="N802" s="11"/>
    </row>
    <row r="803" spans="6:14" ht="15.75" customHeight="1" x14ac:dyDescent="0.2">
      <c r="F803" s="11"/>
      <c r="G803" s="11"/>
      <c r="H803" s="11"/>
      <c r="I803" s="11"/>
      <c r="J803" s="11"/>
      <c r="K803" s="11"/>
      <c r="L803" s="11"/>
      <c r="M803" s="11"/>
      <c r="N803" s="11"/>
    </row>
    <row r="804" spans="6:14" ht="15.75" customHeight="1" x14ac:dyDescent="0.2">
      <c r="F804" s="11"/>
      <c r="G804" s="11"/>
      <c r="H804" s="11"/>
      <c r="I804" s="11"/>
      <c r="J804" s="11"/>
      <c r="K804" s="11"/>
      <c r="L804" s="11"/>
      <c r="M804" s="11"/>
      <c r="N804" s="11"/>
    </row>
    <row r="805" spans="6:14" ht="15.75" customHeight="1" x14ac:dyDescent="0.2">
      <c r="F805" s="11"/>
      <c r="G805" s="11"/>
      <c r="H805" s="11"/>
      <c r="I805" s="11"/>
      <c r="J805" s="11"/>
      <c r="K805" s="11"/>
      <c r="L805" s="11"/>
      <c r="M805" s="11"/>
      <c r="N805" s="11"/>
    </row>
    <row r="806" spans="6:14" ht="15.75" customHeight="1" x14ac:dyDescent="0.2">
      <c r="F806" s="11"/>
      <c r="G806" s="11"/>
      <c r="H806" s="11"/>
      <c r="I806" s="11"/>
      <c r="J806" s="11"/>
      <c r="K806" s="11"/>
      <c r="L806" s="11"/>
      <c r="M806" s="11"/>
      <c r="N806" s="11"/>
    </row>
    <row r="807" spans="6:14" ht="15.75" customHeight="1" x14ac:dyDescent="0.2">
      <c r="F807" s="11"/>
      <c r="G807" s="11"/>
      <c r="H807" s="11"/>
      <c r="I807" s="11"/>
      <c r="J807" s="11"/>
      <c r="K807" s="11"/>
      <c r="L807" s="11"/>
      <c r="M807" s="11"/>
      <c r="N807" s="11"/>
    </row>
    <row r="808" spans="6:14" ht="15.75" customHeight="1" x14ac:dyDescent="0.2">
      <c r="F808" s="11"/>
      <c r="G808" s="11"/>
      <c r="H808" s="11"/>
      <c r="I808" s="11"/>
      <c r="J808" s="11"/>
      <c r="K808" s="11"/>
      <c r="L808" s="11"/>
      <c r="M808" s="11"/>
      <c r="N808" s="11"/>
    </row>
    <row r="809" spans="6:14" ht="15.75" customHeight="1" x14ac:dyDescent="0.2">
      <c r="F809" s="11"/>
      <c r="G809" s="11"/>
      <c r="H809" s="11"/>
      <c r="I809" s="11"/>
      <c r="J809" s="11"/>
      <c r="K809" s="11"/>
      <c r="L809" s="11"/>
      <c r="M809" s="11"/>
      <c r="N809" s="11"/>
    </row>
    <row r="810" spans="6:14" ht="15.75" customHeight="1" x14ac:dyDescent="0.2">
      <c r="F810" s="11"/>
      <c r="G810" s="11"/>
      <c r="H810" s="11"/>
      <c r="I810" s="11"/>
      <c r="J810" s="11"/>
      <c r="K810" s="11"/>
      <c r="L810" s="11"/>
      <c r="M810" s="11"/>
      <c r="N810" s="11"/>
    </row>
    <row r="811" spans="6:14" ht="15.75" customHeight="1" x14ac:dyDescent="0.2">
      <c r="F811" s="11"/>
      <c r="G811" s="11"/>
      <c r="H811" s="11"/>
      <c r="I811" s="11"/>
      <c r="J811" s="11"/>
      <c r="K811" s="11"/>
      <c r="L811" s="11"/>
      <c r="M811" s="11"/>
      <c r="N811" s="11"/>
    </row>
    <row r="812" spans="6:14" ht="15.75" customHeight="1" x14ac:dyDescent="0.2">
      <c r="F812" s="11"/>
      <c r="G812" s="11"/>
      <c r="H812" s="11"/>
      <c r="I812" s="11"/>
      <c r="J812" s="11"/>
      <c r="K812" s="11"/>
      <c r="L812" s="11"/>
      <c r="M812" s="11"/>
      <c r="N812" s="11"/>
    </row>
    <row r="813" spans="6:14" ht="15.75" customHeight="1" x14ac:dyDescent="0.2">
      <c r="F813" s="11"/>
      <c r="G813" s="11"/>
      <c r="H813" s="11"/>
      <c r="I813" s="11"/>
      <c r="J813" s="11"/>
      <c r="K813" s="11"/>
      <c r="L813" s="11"/>
      <c r="M813" s="11"/>
      <c r="N813" s="11"/>
    </row>
    <row r="814" spans="6:14" ht="15.75" customHeight="1" x14ac:dyDescent="0.2">
      <c r="F814" s="11"/>
      <c r="G814" s="11"/>
      <c r="H814" s="11"/>
      <c r="I814" s="11"/>
      <c r="J814" s="11"/>
      <c r="K814" s="11"/>
      <c r="L814" s="11"/>
      <c r="M814" s="11"/>
      <c r="N814" s="11"/>
    </row>
    <row r="815" spans="6:14" ht="15.75" customHeight="1" x14ac:dyDescent="0.2">
      <c r="F815" s="11"/>
      <c r="G815" s="11"/>
      <c r="H815" s="11"/>
      <c r="I815" s="11"/>
      <c r="J815" s="11"/>
      <c r="K815" s="11"/>
      <c r="L815" s="11"/>
      <c r="M815" s="11"/>
      <c r="N815" s="11"/>
    </row>
    <row r="816" spans="6:14" ht="15.75" customHeight="1" x14ac:dyDescent="0.2">
      <c r="F816" s="11"/>
      <c r="G816" s="11"/>
      <c r="H816" s="11"/>
      <c r="I816" s="11"/>
      <c r="J816" s="11"/>
      <c r="K816" s="11"/>
      <c r="L816" s="11"/>
      <c r="M816" s="11"/>
      <c r="N816" s="11"/>
    </row>
    <row r="817" spans="6:14" ht="15.75" customHeight="1" x14ac:dyDescent="0.2">
      <c r="F817" s="11"/>
      <c r="G817" s="11"/>
      <c r="H817" s="11"/>
      <c r="I817" s="11"/>
      <c r="J817" s="11"/>
      <c r="K817" s="11"/>
      <c r="L817" s="11"/>
      <c r="M817" s="11"/>
      <c r="N817" s="11"/>
    </row>
    <row r="818" spans="6:14" ht="15.75" customHeight="1" x14ac:dyDescent="0.2">
      <c r="F818" s="11"/>
      <c r="G818" s="11"/>
      <c r="H818" s="11"/>
      <c r="I818" s="11"/>
      <c r="J818" s="11"/>
      <c r="K818" s="11"/>
      <c r="L818" s="11"/>
      <c r="M818" s="11"/>
      <c r="N818" s="11"/>
    </row>
    <row r="819" spans="6:14" ht="15.75" customHeight="1" x14ac:dyDescent="0.2">
      <c r="F819" s="11"/>
      <c r="G819" s="11"/>
      <c r="H819" s="11"/>
      <c r="I819" s="11"/>
      <c r="J819" s="11"/>
      <c r="K819" s="11"/>
      <c r="L819" s="11"/>
      <c r="M819" s="11"/>
      <c r="N819" s="11"/>
    </row>
    <row r="820" spans="6:14" ht="15.75" customHeight="1" x14ac:dyDescent="0.2">
      <c r="F820" s="11"/>
      <c r="G820" s="11"/>
      <c r="H820" s="11"/>
      <c r="I820" s="11"/>
      <c r="J820" s="11"/>
      <c r="K820" s="11"/>
      <c r="L820" s="11"/>
      <c r="M820" s="11"/>
      <c r="N820" s="11"/>
    </row>
    <row r="821" spans="6:14" ht="15.75" customHeight="1" x14ac:dyDescent="0.2">
      <c r="F821" s="11"/>
      <c r="G821" s="11"/>
      <c r="H821" s="11"/>
      <c r="I821" s="11"/>
      <c r="J821" s="11"/>
      <c r="K821" s="11"/>
      <c r="L821" s="11"/>
      <c r="M821" s="11"/>
      <c r="N821" s="11"/>
    </row>
    <row r="822" spans="6:14" ht="15.75" customHeight="1" x14ac:dyDescent="0.2">
      <c r="F822" s="11"/>
      <c r="G822" s="11"/>
      <c r="H822" s="11"/>
      <c r="I822" s="11"/>
      <c r="J822" s="11"/>
      <c r="K822" s="11"/>
      <c r="L822" s="11"/>
      <c r="M822" s="11"/>
      <c r="N822" s="11"/>
    </row>
    <row r="823" spans="6:14" ht="15.75" customHeight="1" x14ac:dyDescent="0.2">
      <c r="F823" s="11"/>
      <c r="G823" s="11"/>
      <c r="H823" s="11"/>
      <c r="I823" s="11"/>
      <c r="J823" s="11"/>
      <c r="K823" s="11"/>
      <c r="L823" s="11"/>
      <c r="M823" s="11"/>
      <c r="N823" s="11"/>
    </row>
    <row r="824" spans="6:14" ht="15.75" customHeight="1" x14ac:dyDescent="0.2">
      <c r="F824" s="11"/>
      <c r="G824" s="11"/>
      <c r="H824" s="11"/>
      <c r="I824" s="11"/>
      <c r="J824" s="11"/>
      <c r="K824" s="11"/>
      <c r="L824" s="11"/>
      <c r="M824" s="11"/>
      <c r="N824" s="11"/>
    </row>
    <row r="825" spans="6:14" ht="15.75" customHeight="1" x14ac:dyDescent="0.2">
      <c r="F825" s="11"/>
      <c r="G825" s="11"/>
      <c r="H825" s="11"/>
      <c r="I825" s="11"/>
      <c r="J825" s="11"/>
      <c r="K825" s="11"/>
      <c r="L825" s="11"/>
      <c r="M825" s="11"/>
      <c r="N825" s="11"/>
    </row>
    <row r="826" spans="6:14" ht="15.75" customHeight="1" x14ac:dyDescent="0.2">
      <c r="F826" s="11"/>
      <c r="G826" s="11"/>
      <c r="H826" s="11"/>
      <c r="I826" s="11"/>
      <c r="J826" s="11"/>
      <c r="K826" s="11"/>
      <c r="L826" s="11"/>
      <c r="M826" s="11"/>
      <c r="N826" s="11"/>
    </row>
    <row r="827" spans="6:14" ht="15.75" customHeight="1" x14ac:dyDescent="0.2">
      <c r="F827" s="11"/>
      <c r="G827" s="11"/>
      <c r="H827" s="11"/>
      <c r="I827" s="11"/>
      <c r="J827" s="11"/>
      <c r="K827" s="11"/>
      <c r="L827" s="11"/>
      <c r="M827" s="11"/>
      <c r="N827" s="11"/>
    </row>
    <row r="828" spans="6:14" ht="15.75" customHeight="1" x14ac:dyDescent="0.2">
      <c r="F828" s="11"/>
      <c r="G828" s="11"/>
      <c r="H828" s="11"/>
      <c r="I828" s="11"/>
      <c r="J828" s="11"/>
      <c r="K828" s="11"/>
      <c r="L828" s="11"/>
      <c r="M828" s="11"/>
      <c r="N828" s="11"/>
    </row>
    <row r="829" spans="6:14" ht="15.75" customHeight="1" x14ac:dyDescent="0.2">
      <c r="F829" s="11"/>
      <c r="G829" s="11"/>
      <c r="H829" s="11"/>
      <c r="I829" s="11"/>
      <c r="J829" s="11"/>
      <c r="K829" s="11"/>
      <c r="L829" s="11"/>
      <c r="M829" s="11"/>
      <c r="N829" s="11"/>
    </row>
    <row r="830" spans="6:14" ht="15.75" customHeight="1" x14ac:dyDescent="0.2">
      <c r="F830" s="11"/>
      <c r="G830" s="11"/>
      <c r="H830" s="11"/>
      <c r="I830" s="11"/>
      <c r="J830" s="11"/>
      <c r="K830" s="11"/>
      <c r="L830" s="11"/>
      <c r="M830" s="11"/>
      <c r="N830" s="11"/>
    </row>
    <row r="831" spans="6:14" ht="15.75" customHeight="1" x14ac:dyDescent="0.2">
      <c r="F831" s="11"/>
      <c r="G831" s="11"/>
      <c r="H831" s="11"/>
      <c r="I831" s="11"/>
      <c r="J831" s="11"/>
      <c r="K831" s="11"/>
      <c r="L831" s="11"/>
      <c r="M831" s="11"/>
      <c r="N831" s="11"/>
    </row>
    <row r="832" spans="6:14" ht="15.75" customHeight="1" x14ac:dyDescent="0.2">
      <c r="F832" s="11"/>
      <c r="G832" s="11"/>
      <c r="H832" s="11"/>
      <c r="I832" s="11"/>
      <c r="J832" s="11"/>
      <c r="K832" s="11"/>
      <c r="L832" s="11"/>
      <c r="M832" s="11"/>
      <c r="N832" s="11"/>
    </row>
    <row r="833" spans="6:14" ht="15.75" customHeight="1" x14ac:dyDescent="0.2">
      <c r="F833" s="11"/>
      <c r="G833" s="11"/>
      <c r="H833" s="11"/>
      <c r="I833" s="11"/>
      <c r="J833" s="11"/>
      <c r="K833" s="11"/>
      <c r="L833" s="11"/>
      <c r="M833" s="11"/>
      <c r="N833" s="11"/>
    </row>
    <row r="834" spans="6:14" ht="15.75" customHeight="1" x14ac:dyDescent="0.2">
      <c r="F834" s="11"/>
      <c r="G834" s="11"/>
      <c r="H834" s="11"/>
      <c r="I834" s="11"/>
      <c r="J834" s="11"/>
      <c r="K834" s="11"/>
      <c r="L834" s="11"/>
      <c r="M834" s="11"/>
      <c r="N834" s="11"/>
    </row>
    <row r="835" spans="6:14" ht="15.75" customHeight="1" x14ac:dyDescent="0.2">
      <c r="F835" s="11"/>
      <c r="G835" s="11"/>
      <c r="H835" s="11"/>
      <c r="I835" s="11"/>
      <c r="J835" s="11"/>
      <c r="K835" s="11"/>
      <c r="L835" s="11"/>
      <c r="M835" s="11"/>
      <c r="N835" s="11"/>
    </row>
    <row r="836" spans="6:14" ht="15.75" customHeight="1" x14ac:dyDescent="0.2">
      <c r="F836" s="11"/>
      <c r="G836" s="11"/>
      <c r="H836" s="11"/>
      <c r="I836" s="11"/>
      <c r="J836" s="11"/>
      <c r="K836" s="11"/>
      <c r="L836" s="11"/>
      <c r="M836" s="11"/>
      <c r="N836" s="11"/>
    </row>
    <row r="837" spans="6:14" ht="15.75" customHeight="1" x14ac:dyDescent="0.2">
      <c r="F837" s="11"/>
      <c r="G837" s="11"/>
      <c r="H837" s="11"/>
      <c r="I837" s="11"/>
      <c r="J837" s="11"/>
      <c r="K837" s="11"/>
      <c r="L837" s="11"/>
      <c r="M837" s="11"/>
      <c r="N837" s="11"/>
    </row>
    <row r="838" spans="6:14" ht="15.75" customHeight="1" x14ac:dyDescent="0.2">
      <c r="F838" s="11"/>
      <c r="G838" s="11"/>
      <c r="H838" s="11"/>
      <c r="I838" s="11"/>
      <c r="J838" s="11"/>
      <c r="K838" s="11"/>
      <c r="L838" s="11"/>
      <c r="M838" s="11"/>
      <c r="N838" s="11"/>
    </row>
    <row r="839" spans="6:14" ht="15.75" customHeight="1" x14ac:dyDescent="0.2">
      <c r="F839" s="11"/>
      <c r="G839" s="11"/>
      <c r="H839" s="11"/>
      <c r="I839" s="11"/>
      <c r="J839" s="11"/>
      <c r="K839" s="11"/>
      <c r="L839" s="11"/>
      <c r="M839" s="11"/>
      <c r="N839" s="11"/>
    </row>
    <row r="840" spans="6:14" ht="15.75" customHeight="1" x14ac:dyDescent="0.2">
      <c r="F840" s="11"/>
      <c r="G840" s="11"/>
      <c r="H840" s="11"/>
      <c r="I840" s="11"/>
      <c r="J840" s="11"/>
      <c r="K840" s="11"/>
      <c r="L840" s="11"/>
      <c r="M840" s="11"/>
      <c r="N840" s="11"/>
    </row>
    <row r="841" spans="6:14" ht="15.75" customHeight="1" x14ac:dyDescent="0.2">
      <c r="F841" s="11"/>
      <c r="G841" s="11"/>
      <c r="H841" s="11"/>
      <c r="I841" s="11"/>
      <c r="J841" s="11"/>
      <c r="K841" s="11"/>
      <c r="L841" s="11"/>
      <c r="M841" s="11"/>
      <c r="N841" s="11"/>
    </row>
    <row r="842" spans="6:14" ht="15.75" customHeight="1" x14ac:dyDescent="0.2">
      <c r="F842" s="11"/>
      <c r="G842" s="11"/>
      <c r="H842" s="11"/>
      <c r="I842" s="11"/>
      <c r="J842" s="11"/>
      <c r="K842" s="11"/>
      <c r="L842" s="11"/>
      <c r="M842" s="11"/>
      <c r="N842" s="11"/>
    </row>
    <row r="843" spans="6:14" ht="15.75" customHeight="1" x14ac:dyDescent="0.2">
      <c r="F843" s="11"/>
      <c r="G843" s="11"/>
      <c r="H843" s="11"/>
      <c r="I843" s="11"/>
      <c r="J843" s="11"/>
      <c r="K843" s="11"/>
      <c r="L843" s="11"/>
      <c r="M843" s="11"/>
      <c r="N843" s="11"/>
    </row>
    <row r="844" spans="6:14" ht="15.75" customHeight="1" x14ac:dyDescent="0.2">
      <c r="F844" s="11"/>
      <c r="G844" s="11"/>
      <c r="H844" s="11"/>
      <c r="I844" s="11"/>
      <c r="J844" s="11"/>
      <c r="K844" s="11"/>
      <c r="L844" s="11"/>
      <c r="M844" s="11"/>
      <c r="N844" s="11"/>
    </row>
    <row r="845" spans="6:14" ht="15.75" customHeight="1" x14ac:dyDescent="0.2">
      <c r="F845" s="11"/>
      <c r="G845" s="11"/>
      <c r="H845" s="11"/>
      <c r="I845" s="11"/>
      <c r="J845" s="11"/>
      <c r="K845" s="11"/>
      <c r="L845" s="11"/>
      <c r="M845" s="11"/>
      <c r="N845" s="11"/>
    </row>
    <row r="846" spans="6:14" ht="15.75" customHeight="1" x14ac:dyDescent="0.2">
      <c r="F846" s="11"/>
      <c r="G846" s="11"/>
      <c r="H846" s="11"/>
      <c r="I846" s="11"/>
      <c r="J846" s="11"/>
      <c r="K846" s="11"/>
      <c r="L846" s="11"/>
      <c r="M846" s="11"/>
      <c r="N846" s="11"/>
    </row>
    <row r="847" spans="6:14" ht="15.75" customHeight="1" x14ac:dyDescent="0.2">
      <c r="F847" s="11"/>
      <c r="G847" s="11"/>
      <c r="H847" s="11"/>
      <c r="I847" s="11"/>
      <c r="J847" s="11"/>
      <c r="K847" s="11"/>
      <c r="L847" s="11"/>
      <c r="M847" s="11"/>
      <c r="N847" s="11"/>
    </row>
    <row r="848" spans="6:14" ht="15.75" customHeight="1" x14ac:dyDescent="0.2">
      <c r="F848" s="11"/>
      <c r="G848" s="11"/>
      <c r="H848" s="11"/>
      <c r="I848" s="11"/>
      <c r="J848" s="11"/>
      <c r="K848" s="11"/>
      <c r="L848" s="11"/>
      <c r="M848" s="11"/>
      <c r="N848" s="11"/>
    </row>
    <row r="849" spans="6:14" ht="15.75" customHeight="1" x14ac:dyDescent="0.2">
      <c r="F849" s="11"/>
      <c r="G849" s="11"/>
      <c r="H849" s="11"/>
      <c r="I849" s="11"/>
      <c r="J849" s="11"/>
      <c r="K849" s="11"/>
      <c r="L849" s="11"/>
      <c r="M849" s="11"/>
      <c r="N849" s="11"/>
    </row>
    <row r="850" spans="6:14" ht="15.75" customHeight="1" x14ac:dyDescent="0.2">
      <c r="F850" s="11"/>
      <c r="G850" s="11"/>
      <c r="H850" s="11"/>
      <c r="I850" s="11"/>
      <c r="J850" s="11"/>
      <c r="K850" s="11"/>
      <c r="L850" s="11"/>
      <c r="M850" s="11"/>
      <c r="N850" s="11"/>
    </row>
    <row r="851" spans="6:14" ht="15.75" customHeight="1" x14ac:dyDescent="0.2">
      <c r="F851" s="11"/>
      <c r="G851" s="11"/>
      <c r="H851" s="11"/>
      <c r="I851" s="11"/>
      <c r="J851" s="11"/>
      <c r="K851" s="11"/>
      <c r="L851" s="11"/>
      <c r="M851" s="11"/>
      <c r="N851" s="11"/>
    </row>
    <row r="852" spans="6:14" ht="15.75" customHeight="1" x14ac:dyDescent="0.2">
      <c r="F852" s="11"/>
      <c r="G852" s="11"/>
      <c r="H852" s="11"/>
      <c r="I852" s="11"/>
      <c r="J852" s="11"/>
      <c r="K852" s="11"/>
      <c r="L852" s="11"/>
      <c r="M852" s="11"/>
      <c r="N852" s="11"/>
    </row>
    <row r="853" spans="6:14" ht="15.75" customHeight="1" x14ac:dyDescent="0.2">
      <c r="F853" s="11"/>
      <c r="G853" s="11"/>
      <c r="H853" s="11"/>
      <c r="I853" s="11"/>
      <c r="J853" s="11"/>
      <c r="K853" s="11"/>
      <c r="L853" s="11"/>
      <c r="M853" s="11"/>
      <c r="N853" s="11"/>
    </row>
    <row r="854" spans="6:14" ht="15.75" customHeight="1" x14ac:dyDescent="0.2">
      <c r="F854" s="11"/>
      <c r="G854" s="11"/>
      <c r="H854" s="11"/>
      <c r="I854" s="11"/>
      <c r="J854" s="11"/>
      <c r="K854" s="11"/>
      <c r="L854" s="11"/>
      <c r="M854" s="11"/>
      <c r="N854" s="11"/>
    </row>
    <row r="855" spans="6:14" ht="15.75" customHeight="1" x14ac:dyDescent="0.2">
      <c r="F855" s="11"/>
      <c r="G855" s="11"/>
      <c r="H855" s="11"/>
      <c r="I855" s="11"/>
      <c r="J855" s="11"/>
      <c r="K855" s="11"/>
      <c r="L855" s="11"/>
      <c r="M855" s="11"/>
      <c r="N855" s="11"/>
    </row>
    <row r="856" spans="6:14" ht="15.75" customHeight="1" x14ac:dyDescent="0.2">
      <c r="F856" s="11"/>
      <c r="G856" s="11"/>
      <c r="H856" s="11"/>
      <c r="I856" s="11"/>
      <c r="J856" s="11"/>
      <c r="K856" s="11"/>
      <c r="L856" s="11"/>
      <c r="M856" s="11"/>
      <c r="N856" s="11"/>
    </row>
    <row r="857" spans="6:14" ht="15.75" customHeight="1" x14ac:dyDescent="0.2">
      <c r="F857" s="11"/>
      <c r="G857" s="11"/>
      <c r="H857" s="11"/>
      <c r="I857" s="11"/>
      <c r="J857" s="11"/>
      <c r="K857" s="11"/>
      <c r="L857" s="11"/>
      <c r="M857" s="11"/>
      <c r="N857" s="11"/>
    </row>
    <row r="858" spans="6:14" ht="15.75" customHeight="1" x14ac:dyDescent="0.2">
      <c r="F858" s="11"/>
      <c r="G858" s="11"/>
      <c r="H858" s="11"/>
      <c r="I858" s="11"/>
      <c r="J858" s="11"/>
      <c r="K858" s="11"/>
      <c r="L858" s="11"/>
      <c r="M858" s="11"/>
      <c r="N858" s="11"/>
    </row>
    <row r="859" spans="6:14" ht="15.75" customHeight="1" x14ac:dyDescent="0.2">
      <c r="F859" s="11"/>
      <c r="G859" s="11"/>
      <c r="H859" s="11"/>
      <c r="I859" s="11"/>
      <c r="J859" s="11"/>
      <c r="K859" s="11"/>
      <c r="L859" s="11"/>
      <c r="M859" s="11"/>
      <c r="N859" s="11"/>
    </row>
    <row r="860" spans="6:14" ht="15.75" customHeight="1" x14ac:dyDescent="0.2">
      <c r="F860" s="11"/>
      <c r="G860" s="11"/>
      <c r="H860" s="11"/>
      <c r="I860" s="11"/>
      <c r="J860" s="11"/>
      <c r="K860" s="11"/>
      <c r="L860" s="11"/>
      <c r="M860" s="11"/>
      <c r="N860" s="11"/>
    </row>
    <row r="861" spans="6:14" ht="15.75" customHeight="1" x14ac:dyDescent="0.2">
      <c r="F861" s="11"/>
      <c r="G861" s="11"/>
      <c r="H861" s="11"/>
      <c r="I861" s="11"/>
      <c r="J861" s="11"/>
      <c r="K861" s="11"/>
      <c r="L861" s="11"/>
      <c r="M861" s="11"/>
      <c r="N861" s="11"/>
    </row>
    <row r="862" spans="6:14" ht="15.75" customHeight="1" x14ac:dyDescent="0.2">
      <c r="F862" s="11"/>
      <c r="G862" s="11"/>
      <c r="H862" s="11"/>
      <c r="I862" s="11"/>
      <c r="J862" s="11"/>
      <c r="K862" s="11"/>
      <c r="L862" s="11"/>
      <c r="M862" s="11"/>
      <c r="N862" s="11"/>
    </row>
    <row r="863" spans="6:14" ht="15.75" customHeight="1" x14ac:dyDescent="0.2">
      <c r="F863" s="11"/>
      <c r="G863" s="11"/>
      <c r="H863" s="11"/>
      <c r="I863" s="11"/>
      <c r="J863" s="11"/>
      <c r="K863" s="11"/>
      <c r="L863" s="11"/>
      <c r="M863" s="11"/>
      <c r="N863" s="11"/>
    </row>
    <row r="864" spans="6:14" ht="15.75" customHeight="1" x14ac:dyDescent="0.2">
      <c r="F864" s="11"/>
      <c r="G864" s="11"/>
      <c r="H864" s="11"/>
      <c r="I864" s="11"/>
      <c r="J864" s="11"/>
      <c r="K864" s="11"/>
      <c r="L864" s="11"/>
      <c r="M864" s="11"/>
      <c r="N864" s="11"/>
    </row>
    <row r="865" spans="6:14" ht="15.75" customHeight="1" x14ac:dyDescent="0.2">
      <c r="F865" s="11"/>
      <c r="G865" s="11"/>
      <c r="H865" s="11"/>
      <c r="I865" s="11"/>
      <c r="J865" s="11"/>
      <c r="K865" s="11"/>
      <c r="L865" s="11"/>
      <c r="M865" s="11"/>
      <c r="N865" s="11"/>
    </row>
    <row r="866" spans="6:14" ht="15.75" customHeight="1" x14ac:dyDescent="0.2">
      <c r="F866" s="11"/>
      <c r="G866" s="11"/>
      <c r="H866" s="11"/>
      <c r="I866" s="11"/>
      <c r="J866" s="11"/>
      <c r="K866" s="11"/>
      <c r="L866" s="11"/>
      <c r="M866" s="11"/>
      <c r="N866" s="11"/>
    </row>
    <row r="867" spans="6:14" ht="15.75" customHeight="1" x14ac:dyDescent="0.2">
      <c r="F867" s="11"/>
      <c r="G867" s="11"/>
      <c r="H867" s="11"/>
      <c r="I867" s="11"/>
      <c r="J867" s="11"/>
      <c r="K867" s="11"/>
      <c r="L867" s="11"/>
      <c r="M867" s="11"/>
      <c r="N867" s="11"/>
    </row>
    <row r="868" spans="6:14" ht="15.75" customHeight="1" x14ac:dyDescent="0.2">
      <c r="F868" s="11"/>
      <c r="G868" s="11"/>
      <c r="H868" s="11"/>
      <c r="I868" s="11"/>
      <c r="J868" s="11"/>
      <c r="K868" s="11"/>
      <c r="L868" s="11"/>
      <c r="M868" s="11"/>
      <c r="N868" s="11"/>
    </row>
    <row r="869" spans="6:14" ht="15.75" customHeight="1" x14ac:dyDescent="0.2">
      <c r="F869" s="11"/>
      <c r="G869" s="11"/>
      <c r="H869" s="11"/>
      <c r="I869" s="11"/>
      <c r="J869" s="11"/>
      <c r="K869" s="11"/>
      <c r="L869" s="11"/>
      <c r="M869" s="11"/>
      <c r="N869" s="11"/>
    </row>
    <row r="870" spans="6:14" ht="15.75" customHeight="1" x14ac:dyDescent="0.2">
      <c r="F870" s="11"/>
      <c r="G870" s="11"/>
      <c r="H870" s="11"/>
      <c r="I870" s="11"/>
      <c r="J870" s="11"/>
      <c r="K870" s="11"/>
      <c r="L870" s="11"/>
      <c r="M870" s="11"/>
      <c r="N870" s="11"/>
    </row>
    <row r="871" spans="6:14" ht="15.75" customHeight="1" x14ac:dyDescent="0.2">
      <c r="F871" s="11"/>
      <c r="G871" s="11"/>
      <c r="H871" s="11"/>
      <c r="I871" s="11"/>
      <c r="J871" s="11"/>
      <c r="K871" s="11"/>
      <c r="L871" s="11"/>
      <c r="M871" s="11"/>
      <c r="N871" s="11"/>
    </row>
    <row r="872" spans="6:14" ht="15.75" customHeight="1" x14ac:dyDescent="0.2">
      <c r="F872" s="11"/>
      <c r="G872" s="11"/>
      <c r="H872" s="11"/>
      <c r="I872" s="11"/>
      <c r="J872" s="11"/>
      <c r="K872" s="11"/>
      <c r="L872" s="11"/>
      <c r="M872" s="11"/>
      <c r="N872" s="11"/>
    </row>
    <row r="873" spans="6:14" ht="15.75" customHeight="1" x14ac:dyDescent="0.2">
      <c r="F873" s="11"/>
      <c r="G873" s="11"/>
      <c r="H873" s="11"/>
      <c r="I873" s="11"/>
      <c r="J873" s="11"/>
      <c r="K873" s="11"/>
      <c r="L873" s="11"/>
      <c r="M873" s="11"/>
      <c r="N873" s="11"/>
    </row>
    <row r="874" spans="6:14" ht="15.75" customHeight="1" x14ac:dyDescent="0.2">
      <c r="F874" s="11"/>
      <c r="G874" s="11"/>
      <c r="H874" s="11"/>
      <c r="I874" s="11"/>
      <c r="J874" s="11"/>
      <c r="K874" s="11"/>
      <c r="L874" s="11"/>
      <c r="M874" s="11"/>
      <c r="N874" s="11"/>
    </row>
    <row r="875" spans="6:14" ht="15.75" customHeight="1" x14ac:dyDescent="0.2">
      <c r="F875" s="11"/>
      <c r="G875" s="11"/>
      <c r="H875" s="11"/>
      <c r="I875" s="11"/>
      <c r="J875" s="11"/>
      <c r="K875" s="11"/>
      <c r="L875" s="11"/>
      <c r="M875" s="11"/>
      <c r="N875" s="11"/>
    </row>
    <row r="876" spans="6:14" ht="15.75" customHeight="1" x14ac:dyDescent="0.2">
      <c r="F876" s="11"/>
      <c r="G876" s="11"/>
      <c r="H876" s="11"/>
      <c r="I876" s="11"/>
      <c r="J876" s="11"/>
      <c r="K876" s="11"/>
      <c r="L876" s="11"/>
      <c r="M876" s="11"/>
      <c r="N876" s="11"/>
    </row>
    <row r="877" spans="6:14" ht="15.75" customHeight="1" x14ac:dyDescent="0.2">
      <c r="F877" s="11"/>
      <c r="G877" s="11"/>
      <c r="H877" s="11"/>
      <c r="I877" s="11"/>
      <c r="J877" s="11"/>
      <c r="K877" s="11"/>
      <c r="L877" s="11"/>
      <c r="M877" s="11"/>
      <c r="N877" s="11"/>
    </row>
    <row r="878" spans="6:14" ht="15.75" customHeight="1" x14ac:dyDescent="0.2">
      <c r="F878" s="11"/>
      <c r="G878" s="11"/>
      <c r="H878" s="11"/>
      <c r="I878" s="11"/>
      <c r="J878" s="11"/>
      <c r="K878" s="11"/>
      <c r="L878" s="11"/>
      <c r="M878" s="11"/>
      <c r="N878" s="11"/>
    </row>
    <row r="879" spans="6:14" ht="15.75" customHeight="1" x14ac:dyDescent="0.2">
      <c r="F879" s="11"/>
      <c r="G879" s="11"/>
      <c r="H879" s="11"/>
      <c r="I879" s="11"/>
      <c r="J879" s="11"/>
      <c r="K879" s="11"/>
      <c r="L879" s="11"/>
      <c r="M879" s="11"/>
      <c r="N879" s="11"/>
    </row>
    <row r="880" spans="6:14" ht="15.75" customHeight="1" x14ac:dyDescent="0.2">
      <c r="F880" s="11"/>
      <c r="G880" s="11"/>
      <c r="H880" s="11"/>
      <c r="I880" s="11"/>
      <c r="J880" s="11"/>
      <c r="K880" s="11"/>
      <c r="L880" s="11"/>
      <c r="M880" s="11"/>
      <c r="N880" s="11"/>
    </row>
    <row r="881" spans="6:14" ht="15.75" customHeight="1" x14ac:dyDescent="0.2">
      <c r="F881" s="11"/>
      <c r="G881" s="11"/>
      <c r="H881" s="11"/>
      <c r="I881" s="11"/>
      <c r="J881" s="11"/>
      <c r="K881" s="11"/>
      <c r="L881" s="11"/>
      <c r="M881" s="11"/>
      <c r="N881" s="11"/>
    </row>
    <row r="882" spans="6:14" ht="15.75" customHeight="1" x14ac:dyDescent="0.2">
      <c r="F882" s="11"/>
      <c r="G882" s="11"/>
      <c r="H882" s="11"/>
      <c r="I882" s="11"/>
      <c r="J882" s="11"/>
      <c r="K882" s="11"/>
      <c r="L882" s="11"/>
      <c r="M882" s="11"/>
      <c r="N882" s="11"/>
    </row>
    <row r="883" spans="6:14" ht="15.75" customHeight="1" x14ac:dyDescent="0.2">
      <c r="F883" s="11"/>
      <c r="G883" s="11"/>
      <c r="H883" s="11"/>
      <c r="I883" s="11"/>
      <c r="J883" s="11"/>
      <c r="K883" s="11"/>
      <c r="L883" s="11"/>
      <c r="M883" s="11"/>
      <c r="N883" s="11"/>
    </row>
    <row r="884" spans="6:14" ht="15.75" customHeight="1" x14ac:dyDescent="0.2">
      <c r="F884" s="11"/>
      <c r="G884" s="11"/>
      <c r="H884" s="11"/>
      <c r="I884" s="11"/>
      <c r="J884" s="11"/>
      <c r="K884" s="11"/>
      <c r="L884" s="11"/>
      <c r="M884" s="11"/>
      <c r="N884" s="11"/>
    </row>
    <row r="885" spans="6:14" ht="15.75" customHeight="1" x14ac:dyDescent="0.2">
      <c r="F885" s="11"/>
      <c r="G885" s="11"/>
      <c r="H885" s="11"/>
      <c r="I885" s="11"/>
      <c r="J885" s="11"/>
      <c r="K885" s="11"/>
      <c r="L885" s="11"/>
      <c r="M885" s="11"/>
      <c r="N885" s="11"/>
    </row>
    <row r="886" spans="6:14" ht="15.75" customHeight="1" x14ac:dyDescent="0.2">
      <c r="F886" s="11"/>
      <c r="G886" s="11"/>
      <c r="H886" s="11"/>
      <c r="I886" s="11"/>
      <c r="J886" s="11"/>
      <c r="K886" s="11"/>
      <c r="L886" s="11"/>
      <c r="M886" s="11"/>
      <c r="N886" s="11"/>
    </row>
    <row r="887" spans="6:14" ht="15.75" customHeight="1" x14ac:dyDescent="0.2">
      <c r="F887" s="11"/>
      <c r="G887" s="11"/>
      <c r="H887" s="11"/>
      <c r="I887" s="11"/>
      <c r="J887" s="11"/>
      <c r="K887" s="11"/>
      <c r="L887" s="11"/>
      <c r="M887" s="11"/>
      <c r="N887" s="11"/>
    </row>
    <row r="888" spans="6:14" ht="15.75" customHeight="1" x14ac:dyDescent="0.2">
      <c r="F888" s="11"/>
      <c r="G888" s="11"/>
      <c r="H888" s="11"/>
      <c r="I888" s="11"/>
      <c r="J888" s="11"/>
      <c r="K888" s="11"/>
      <c r="L888" s="11"/>
      <c r="M888" s="11"/>
      <c r="N888" s="11"/>
    </row>
    <row r="889" spans="6:14" ht="15.75" customHeight="1" x14ac:dyDescent="0.2">
      <c r="F889" s="11"/>
      <c r="G889" s="11"/>
      <c r="H889" s="11"/>
      <c r="I889" s="11"/>
      <c r="J889" s="11"/>
      <c r="K889" s="11"/>
      <c r="L889" s="11"/>
      <c r="M889" s="11"/>
      <c r="N889" s="11"/>
    </row>
    <row r="890" spans="6:14" ht="15.75" customHeight="1" x14ac:dyDescent="0.2">
      <c r="F890" s="11"/>
      <c r="G890" s="11"/>
      <c r="H890" s="11"/>
      <c r="I890" s="11"/>
      <c r="J890" s="11"/>
      <c r="K890" s="11"/>
      <c r="L890" s="11"/>
      <c r="M890" s="11"/>
      <c r="N890" s="11"/>
    </row>
    <row r="891" spans="6:14" ht="15.75" customHeight="1" x14ac:dyDescent="0.2">
      <c r="F891" s="11"/>
      <c r="G891" s="11"/>
      <c r="H891" s="11"/>
      <c r="I891" s="11"/>
      <c r="J891" s="11"/>
      <c r="K891" s="11"/>
      <c r="L891" s="11"/>
      <c r="M891" s="11"/>
      <c r="N891" s="11"/>
    </row>
    <row r="892" spans="6:14" ht="15.75" customHeight="1" x14ac:dyDescent="0.2">
      <c r="F892" s="11"/>
      <c r="G892" s="11"/>
      <c r="H892" s="11"/>
      <c r="I892" s="11"/>
      <c r="J892" s="11"/>
      <c r="K892" s="11"/>
      <c r="L892" s="11"/>
      <c r="M892" s="11"/>
      <c r="N892" s="11"/>
    </row>
    <row r="893" spans="6:14" ht="15.75" customHeight="1" x14ac:dyDescent="0.2">
      <c r="F893" s="11"/>
      <c r="G893" s="11"/>
      <c r="H893" s="11"/>
      <c r="I893" s="11"/>
      <c r="J893" s="11"/>
      <c r="K893" s="11"/>
      <c r="L893" s="11"/>
      <c r="M893" s="11"/>
      <c r="N893" s="11"/>
    </row>
    <row r="894" spans="6:14" ht="15.75" customHeight="1" x14ac:dyDescent="0.2">
      <c r="F894" s="11"/>
      <c r="G894" s="11"/>
      <c r="H894" s="11"/>
      <c r="I894" s="11"/>
      <c r="J894" s="11"/>
      <c r="K894" s="11"/>
      <c r="L894" s="11"/>
      <c r="M894" s="11"/>
      <c r="N894" s="11"/>
    </row>
    <row r="895" spans="6:14" ht="15.75" customHeight="1" x14ac:dyDescent="0.2">
      <c r="F895" s="11"/>
      <c r="G895" s="11"/>
      <c r="H895" s="11"/>
      <c r="I895" s="11"/>
      <c r="J895" s="11"/>
      <c r="K895" s="11"/>
      <c r="L895" s="11"/>
      <c r="M895" s="11"/>
      <c r="N895" s="11"/>
    </row>
    <row r="896" spans="6:14" ht="15.75" customHeight="1" x14ac:dyDescent="0.2">
      <c r="F896" s="11"/>
      <c r="G896" s="11"/>
      <c r="H896" s="11"/>
      <c r="I896" s="11"/>
      <c r="J896" s="11"/>
      <c r="K896" s="11"/>
      <c r="L896" s="11"/>
      <c r="M896" s="11"/>
      <c r="N896" s="11"/>
    </row>
    <row r="897" spans="6:14" ht="15.75" customHeight="1" x14ac:dyDescent="0.2">
      <c r="F897" s="11"/>
      <c r="G897" s="11"/>
      <c r="H897" s="11"/>
      <c r="I897" s="11"/>
      <c r="J897" s="11"/>
      <c r="K897" s="11"/>
      <c r="L897" s="11"/>
      <c r="M897" s="11"/>
      <c r="N897" s="11"/>
    </row>
    <row r="898" spans="6:14" ht="15.75" customHeight="1" x14ac:dyDescent="0.2">
      <c r="F898" s="11"/>
      <c r="G898" s="11"/>
      <c r="H898" s="11"/>
      <c r="I898" s="11"/>
      <c r="J898" s="11"/>
      <c r="K898" s="11"/>
      <c r="L898" s="11"/>
      <c r="M898" s="11"/>
      <c r="N898" s="11"/>
    </row>
    <row r="899" spans="6:14" ht="15.75" customHeight="1" x14ac:dyDescent="0.2">
      <c r="F899" s="11"/>
      <c r="G899" s="11"/>
      <c r="H899" s="11"/>
      <c r="I899" s="11"/>
      <c r="J899" s="11"/>
      <c r="K899" s="11"/>
      <c r="L899" s="11"/>
      <c r="M899" s="11"/>
      <c r="N899" s="11"/>
    </row>
    <row r="900" spans="6:14" ht="15.75" customHeight="1" x14ac:dyDescent="0.2">
      <c r="F900" s="11"/>
      <c r="G900" s="11"/>
      <c r="H900" s="11"/>
      <c r="I900" s="11"/>
      <c r="J900" s="11"/>
      <c r="K900" s="11"/>
      <c r="L900" s="11"/>
      <c r="M900" s="11"/>
      <c r="N900" s="11"/>
    </row>
    <row r="901" spans="6:14" ht="15.75" customHeight="1" x14ac:dyDescent="0.2">
      <c r="F901" s="11"/>
      <c r="G901" s="11"/>
      <c r="H901" s="11"/>
      <c r="I901" s="11"/>
      <c r="J901" s="11"/>
      <c r="K901" s="11"/>
      <c r="L901" s="11"/>
      <c r="M901" s="11"/>
      <c r="N901" s="11"/>
    </row>
    <row r="902" spans="6:14" ht="15.75" customHeight="1" x14ac:dyDescent="0.2">
      <c r="F902" s="11"/>
      <c r="G902" s="11"/>
      <c r="H902" s="11"/>
      <c r="I902" s="11"/>
      <c r="J902" s="11"/>
      <c r="K902" s="11"/>
      <c r="L902" s="11"/>
      <c r="M902" s="11"/>
      <c r="N902" s="11"/>
    </row>
    <row r="903" spans="6:14" ht="15.75" customHeight="1" x14ac:dyDescent="0.2">
      <c r="F903" s="11"/>
      <c r="G903" s="11"/>
      <c r="H903" s="11"/>
      <c r="I903" s="11"/>
      <c r="J903" s="11"/>
      <c r="K903" s="11"/>
      <c r="L903" s="11"/>
      <c r="M903" s="11"/>
      <c r="N903" s="11"/>
    </row>
    <row r="904" spans="6:14" ht="15.75" customHeight="1" x14ac:dyDescent="0.2">
      <c r="F904" s="11"/>
      <c r="G904" s="11"/>
      <c r="H904" s="11"/>
      <c r="I904" s="11"/>
      <c r="J904" s="11"/>
      <c r="K904" s="11"/>
      <c r="L904" s="11"/>
      <c r="M904" s="11"/>
      <c r="N904" s="11"/>
    </row>
    <row r="905" spans="6:14" ht="15.75" customHeight="1" x14ac:dyDescent="0.2">
      <c r="F905" s="11"/>
      <c r="G905" s="11"/>
      <c r="H905" s="11"/>
      <c r="I905" s="11"/>
      <c r="J905" s="11"/>
      <c r="K905" s="11"/>
      <c r="L905" s="11"/>
      <c r="M905" s="11"/>
      <c r="N905" s="11"/>
    </row>
    <row r="906" spans="6:14" ht="15.75" customHeight="1" x14ac:dyDescent="0.2">
      <c r="F906" s="11"/>
      <c r="G906" s="11"/>
      <c r="H906" s="11"/>
      <c r="I906" s="11"/>
      <c r="J906" s="11"/>
      <c r="K906" s="11"/>
      <c r="L906" s="11"/>
      <c r="M906" s="11"/>
      <c r="N906" s="11"/>
    </row>
    <row r="907" spans="6:14" ht="15.75" customHeight="1" x14ac:dyDescent="0.2">
      <c r="F907" s="11"/>
      <c r="G907" s="11"/>
      <c r="H907" s="11"/>
      <c r="I907" s="11"/>
      <c r="J907" s="11"/>
      <c r="K907" s="11"/>
      <c r="L907" s="11"/>
      <c r="M907" s="11"/>
      <c r="N907" s="11"/>
    </row>
    <row r="908" spans="6:14" ht="15.75" customHeight="1" x14ac:dyDescent="0.2">
      <c r="F908" s="11"/>
      <c r="G908" s="11"/>
      <c r="H908" s="11"/>
      <c r="I908" s="11"/>
      <c r="J908" s="11"/>
      <c r="K908" s="11"/>
      <c r="L908" s="11"/>
      <c r="M908" s="11"/>
      <c r="N908" s="11"/>
    </row>
    <row r="909" spans="6:14" ht="15.75" customHeight="1" x14ac:dyDescent="0.2">
      <c r="F909" s="11"/>
      <c r="G909" s="11"/>
      <c r="H909" s="11"/>
      <c r="I909" s="11"/>
      <c r="J909" s="11"/>
      <c r="K909" s="11"/>
      <c r="L909" s="11"/>
      <c r="M909" s="11"/>
      <c r="N909" s="11"/>
    </row>
    <row r="910" spans="6:14" ht="15.75" customHeight="1" x14ac:dyDescent="0.2">
      <c r="F910" s="11"/>
      <c r="G910" s="11"/>
      <c r="H910" s="11"/>
      <c r="I910" s="11"/>
      <c r="J910" s="11"/>
      <c r="K910" s="11"/>
      <c r="L910" s="11"/>
      <c r="M910" s="11"/>
      <c r="N910" s="11"/>
    </row>
    <row r="911" spans="6:14" ht="15.75" customHeight="1" x14ac:dyDescent="0.2">
      <c r="F911" s="11"/>
      <c r="G911" s="11"/>
      <c r="H911" s="11"/>
      <c r="I911" s="11"/>
      <c r="J911" s="11"/>
      <c r="K911" s="11"/>
      <c r="L911" s="11"/>
      <c r="M911" s="11"/>
      <c r="N911" s="11"/>
    </row>
    <row r="912" spans="6:14" ht="15.75" customHeight="1" x14ac:dyDescent="0.2">
      <c r="F912" s="11"/>
      <c r="G912" s="11"/>
      <c r="H912" s="11"/>
      <c r="I912" s="11"/>
      <c r="J912" s="11"/>
      <c r="K912" s="11"/>
      <c r="L912" s="11"/>
      <c r="M912" s="11"/>
      <c r="N912" s="11"/>
    </row>
    <row r="913" spans="6:14" ht="15.75" customHeight="1" x14ac:dyDescent="0.2">
      <c r="F913" s="11"/>
      <c r="G913" s="11"/>
      <c r="H913" s="11"/>
      <c r="I913" s="11"/>
      <c r="J913" s="11"/>
      <c r="K913" s="11"/>
      <c r="L913" s="11"/>
      <c r="M913" s="11"/>
      <c r="N913" s="11"/>
    </row>
    <row r="914" spans="6:14" ht="15.75" customHeight="1" x14ac:dyDescent="0.2">
      <c r="F914" s="11"/>
      <c r="G914" s="11"/>
      <c r="H914" s="11"/>
      <c r="I914" s="11"/>
      <c r="J914" s="11"/>
      <c r="K914" s="11"/>
      <c r="L914" s="11"/>
      <c r="M914" s="11"/>
      <c r="N914" s="11"/>
    </row>
    <row r="915" spans="6:14" ht="15.75" customHeight="1" x14ac:dyDescent="0.2">
      <c r="F915" s="11"/>
      <c r="G915" s="11"/>
      <c r="H915" s="11"/>
      <c r="I915" s="11"/>
      <c r="J915" s="11"/>
      <c r="K915" s="11"/>
      <c r="L915" s="11"/>
      <c r="M915" s="11"/>
      <c r="N915" s="11"/>
    </row>
    <row r="916" spans="6:14" ht="15.75" customHeight="1" x14ac:dyDescent="0.2">
      <c r="F916" s="11"/>
      <c r="G916" s="11"/>
      <c r="H916" s="11"/>
      <c r="I916" s="11"/>
      <c r="J916" s="11"/>
      <c r="K916" s="11"/>
      <c r="L916" s="11"/>
      <c r="M916" s="11"/>
      <c r="N916" s="11"/>
    </row>
    <row r="917" spans="6:14" ht="15.75" customHeight="1" x14ac:dyDescent="0.2">
      <c r="F917" s="11"/>
      <c r="G917" s="11"/>
      <c r="H917" s="11"/>
      <c r="I917" s="11"/>
      <c r="J917" s="11"/>
      <c r="K917" s="11"/>
      <c r="L917" s="11"/>
      <c r="M917" s="11"/>
      <c r="N917" s="11"/>
    </row>
    <row r="918" spans="6:14" ht="15.75" customHeight="1" x14ac:dyDescent="0.2">
      <c r="F918" s="11"/>
      <c r="G918" s="11"/>
      <c r="H918" s="11"/>
      <c r="I918" s="11"/>
      <c r="J918" s="11"/>
      <c r="K918" s="11"/>
      <c r="L918" s="11"/>
      <c r="M918" s="11"/>
      <c r="N918" s="11"/>
    </row>
    <row r="919" spans="6:14" ht="15.75" customHeight="1" x14ac:dyDescent="0.2">
      <c r="F919" s="11"/>
      <c r="G919" s="11"/>
      <c r="H919" s="11"/>
      <c r="I919" s="11"/>
      <c r="J919" s="11"/>
      <c r="K919" s="11"/>
      <c r="L919" s="11"/>
      <c r="M919" s="11"/>
      <c r="N919" s="11"/>
    </row>
    <row r="920" spans="6:14" ht="15.75" customHeight="1" x14ac:dyDescent="0.2">
      <c r="F920" s="11"/>
      <c r="G920" s="11"/>
      <c r="H920" s="11"/>
      <c r="I920" s="11"/>
      <c r="J920" s="11"/>
      <c r="K920" s="11"/>
      <c r="L920" s="11"/>
      <c r="M920" s="11"/>
      <c r="N920" s="11"/>
    </row>
    <row r="921" spans="6:14" ht="15.75" customHeight="1" x14ac:dyDescent="0.2">
      <c r="F921" s="11"/>
      <c r="G921" s="11"/>
      <c r="H921" s="11"/>
      <c r="I921" s="11"/>
      <c r="J921" s="11"/>
      <c r="K921" s="11"/>
      <c r="L921" s="11"/>
      <c r="M921" s="11"/>
      <c r="N921" s="11"/>
    </row>
    <row r="922" spans="6:14" ht="15.75" customHeight="1" x14ac:dyDescent="0.2">
      <c r="F922" s="11"/>
      <c r="G922" s="11"/>
      <c r="H922" s="11"/>
      <c r="I922" s="11"/>
      <c r="J922" s="11"/>
      <c r="K922" s="11"/>
      <c r="L922" s="11"/>
      <c r="M922" s="11"/>
      <c r="N922" s="11"/>
    </row>
    <row r="923" spans="6:14" ht="15.75" customHeight="1" x14ac:dyDescent="0.2">
      <c r="F923" s="11"/>
      <c r="G923" s="11"/>
      <c r="H923" s="11"/>
      <c r="I923" s="11"/>
      <c r="J923" s="11"/>
      <c r="K923" s="11"/>
      <c r="L923" s="11"/>
      <c r="M923" s="11"/>
      <c r="N923" s="11"/>
    </row>
    <row r="924" spans="6:14" ht="15.75" customHeight="1" x14ac:dyDescent="0.2">
      <c r="F924" s="11"/>
      <c r="G924" s="11"/>
      <c r="H924" s="11"/>
      <c r="I924" s="11"/>
      <c r="J924" s="11"/>
      <c r="K924" s="11"/>
      <c r="L924" s="11"/>
      <c r="M924" s="11"/>
      <c r="N924" s="11"/>
    </row>
    <row r="925" spans="6:14" ht="15.75" customHeight="1" x14ac:dyDescent="0.2">
      <c r="F925" s="11"/>
      <c r="G925" s="11"/>
      <c r="H925" s="11"/>
      <c r="I925" s="11"/>
      <c r="J925" s="11"/>
      <c r="K925" s="11"/>
      <c r="L925" s="11"/>
      <c r="M925" s="11"/>
      <c r="N925" s="11"/>
    </row>
    <row r="926" spans="6:14" ht="15.75" customHeight="1" x14ac:dyDescent="0.2">
      <c r="F926" s="11"/>
      <c r="G926" s="11"/>
      <c r="H926" s="11"/>
      <c r="I926" s="11"/>
      <c r="J926" s="11"/>
      <c r="K926" s="11"/>
      <c r="L926" s="11"/>
      <c r="M926" s="11"/>
      <c r="N926" s="11"/>
    </row>
    <row r="927" spans="6:14" ht="15.75" customHeight="1" x14ac:dyDescent="0.2">
      <c r="F927" s="11"/>
      <c r="G927" s="11"/>
      <c r="H927" s="11"/>
      <c r="I927" s="11"/>
      <c r="J927" s="11"/>
      <c r="K927" s="11"/>
      <c r="L927" s="11"/>
      <c r="M927" s="11"/>
      <c r="N927" s="11"/>
    </row>
    <row r="928" spans="6:14" ht="15.75" customHeight="1" x14ac:dyDescent="0.2">
      <c r="F928" s="11"/>
      <c r="G928" s="11"/>
      <c r="H928" s="11"/>
      <c r="I928" s="11"/>
      <c r="J928" s="11"/>
      <c r="K928" s="11"/>
      <c r="L928" s="11"/>
      <c r="M928" s="11"/>
      <c r="N928" s="11"/>
    </row>
    <row r="929" spans="6:14" ht="15.75" customHeight="1" x14ac:dyDescent="0.2">
      <c r="F929" s="11"/>
      <c r="G929" s="11"/>
      <c r="H929" s="11"/>
      <c r="I929" s="11"/>
      <c r="J929" s="11"/>
      <c r="K929" s="11"/>
      <c r="L929" s="11"/>
      <c r="M929" s="11"/>
      <c r="N929" s="11"/>
    </row>
    <row r="930" spans="6:14" ht="15.75" customHeight="1" x14ac:dyDescent="0.2">
      <c r="F930" s="11"/>
      <c r="G930" s="11"/>
      <c r="H930" s="11"/>
      <c r="I930" s="11"/>
      <c r="J930" s="11"/>
      <c r="K930" s="11"/>
      <c r="L930" s="11"/>
      <c r="M930" s="11"/>
      <c r="N930" s="11"/>
    </row>
    <row r="931" spans="6:14" ht="15.75" customHeight="1" x14ac:dyDescent="0.2">
      <c r="F931" s="11"/>
      <c r="G931" s="11"/>
      <c r="H931" s="11"/>
      <c r="I931" s="11"/>
      <c r="J931" s="11"/>
      <c r="K931" s="11"/>
      <c r="L931" s="11"/>
      <c r="M931" s="11"/>
      <c r="N931" s="11"/>
    </row>
    <row r="932" spans="6:14" ht="15.75" customHeight="1" x14ac:dyDescent="0.2">
      <c r="F932" s="11"/>
      <c r="G932" s="11"/>
      <c r="H932" s="11"/>
      <c r="I932" s="11"/>
      <c r="J932" s="11"/>
      <c r="K932" s="11"/>
      <c r="L932" s="11"/>
      <c r="M932" s="11"/>
      <c r="N932" s="11"/>
    </row>
    <row r="933" spans="6:14" ht="15.75" customHeight="1" x14ac:dyDescent="0.2">
      <c r="F933" s="11"/>
      <c r="G933" s="11"/>
      <c r="H933" s="11"/>
      <c r="I933" s="11"/>
      <c r="J933" s="11"/>
      <c r="K933" s="11"/>
      <c r="L933" s="11"/>
      <c r="M933" s="11"/>
      <c r="N933" s="11"/>
    </row>
    <row r="934" spans="6:14" ht="15.75" customHeight="1" x14ac:dyDescent="0.2">
      <c r="F934" s="11"/>
      <c r="G934" s="11"/>
      <c r="H934" s="11"/>
      <c r="I934" s="11"/>
      <c r="J934" s="11"/>
      <c r="K934" s="11"/>
      <c r="L934" s="11"/>
      <c r="M934" s="11"/>
      <c r="N934" s="11"/>
    </row>
    <row r="935" spans="6:14" ht="15.75" customHeight="1" x14ac:dyDescent="0.2">
      <c r="F935" s="11"/>
      <c r="G935" s="11"/>
      <c r="H935" s="11"/>
      <c r="I935" s="11"/>
      <c r="J935" s="11"/>
      <c r="K935" s="11"/>
      <c r="L935" s="11"/>
      <c r="M935" s="11"/>
      <c r="N935" s="11"/>
    </row>
    <row r="936" spans="6:14" ht="15.75" customHeight="1" x14ac:dyDescent="0.2">
      <c r="F936" s="11"/>
      <c r="G936" s="11"/>
      <c r="H936" s="11"/>
      <c r="I936" s="11"/>
      <c r="J936" s="11"/>
      <c r="K936" s="11"/>
      <c r="L936" s="11"/>
      <c r="M936" s="11"/>
      <c r="N936" s="11"/>
    </row>
    <row r="937" spans="6:14" ht="15.75" customHeight="1" x14ac:dyDescent="0.2">
      <c r="F937" s="11"/>
      <c r="G937" s="11"/>
      <c r="H937" s="11"/>
      <c r="I937" s="11"/>
      <c r="J937" s="11"/>
      <c r="K937" s="11"/>
      <c r="L937" s="11"/>
      <c r="M937" s="11"/>
      <c r="N937" s="11"/>
    </row>
    <row r="938" spans="6:14" ht="15.75" customHeight="1" x14ac:dyDescent="0.2">
      <c r="F938" s="11"/>
      <c r="G938" s="11"/>
      <c r="H938" s="11"/>
      <c r="I938" s="11"/>
      <c r="J938" s="11"/>
      <c r="K938" s="11"/>
      <c r="L938" s="11"/>
      <c r="M938" s="11"/>
      <c r="N938" s="11"/>
    </row>
    <row r="939" spans="6:14" ht="15.75" customHeight="1" x14ac:dyDescent="0.2">
      <c r="F939" s="11"/>
      <c r="G939" s="11"/>
      <c r="H939" s="11"/>
      <c r="I939" s="11"/>
      <c r="J939" s="11"/>
      <c r="K939" s="11"/>
      <c r="L939" s="11"/>
      <c r="M939" s="11"/>
      <c r="N939" s="11"/>
    </row>
    <row r="940" spans="6:14" ht="15.75" customHeight="1" x14ac:dyDescent="0.2">
      <c r="F940" s="11"/>
      <c r="G940" s="11"/>
      <c r="H940" s="11"/>
      <c r="I940" s="11"/>
      <c r="J940" s="11"/>
      <c r="K940" s="11"/>
      <c r="L940" s="11"/>
      <c r="M940" s="11"/>
      <c r="N940" s="11"/>
    </row>
    <row r="941" spans="6:14" ht="15.75" customHeight="1" x14ac:dyDescent="0.2">
      <c r="F941" s="11"/>
      <c r="G941" s="11"/>
      <c r="H941" s="11"/>
      <c r="I941" s="11"/>
      <c r="J941" s="11"/>
      <c r="K941" s="11"/>
      <c r="L941" s="11"/>
      <c r="M941" s="11"/>
      <c r="N941" s="11"/>
    </row>
    <row r="942" spans="6:14" ht="15.75" customHeight="1" x14ac:dyDescent="0.2">
      <c r="F942" s="11"/>
      <c r="G942" s="11"/>
      <c r="H942" s="11"/>
      <c r="I942" s="11"/>
      <c r="J942" s="11"/>
      <c r="K942" s="11"/>
      <c r="L942" s="11"/>
      <c r="M942" s="11"/>
      <c r="N942" s="11"/>
    </row>
    <row r="943" spans="6:14" ht="15.75" customHeight="1" x14ac:dyDescent="0.2">
      <c r="F943" s="11"/>
      <c r="G943" s="11"/>
      <c r="H943" s="11"/>
      <c r="I943" s="11"/>
      <c r="J943" s="11"/>
      <c r="K943" s="11"/>
      <c r="L943" s="11"/>
      <c r="M943" s="11"/>
      <c r="N943" s="11"/>
    </row>
    <row r="944" spans="6:14" ht="15.75" customHeight="1" x14ac:dyDescent="0.2">
      <c r="F944" s="11"/>
      <c r="G944" s="11"/>
      <c r="H944" s="11"/>
      <c r="I944" s="11"/>
      <c r="J944" s="11"/>
      <c r="K944" s="11"/>
      <c r="L944" s="11"/>
      <c r="M944" s="11"/>
      <c r="N944" s="11"/>
    </row>
    <row r="945" spans="6:14" ht="15.75" customHeight="1" x14ac:dyDescent="0.2">
      <c r="F945" s="11"/>
      <c r="G945" s="11"/>
      <c r="H945" s="11"/>
      <c r="I945" s="11"/>
      <c r="J945" s="11"/>
      <c r="K945" s="11"/>
      <c r="L945" s="11"/>
      <c r="M945" s="11"/>
      <c r="N945" s="11"/>
    </row>
    <row r="946" spans="6:14" ht="15.75" customHeight="1" x14ac:dyDescent="0.2">
      <c r="F946" s="11"/>
      <c r="G946" s="11"/>
      <c r="H946" s="11"/>
      <c r="I946" s="11"/>
      <c r="J946" s="11"/>
      <c r="K946" s="11"/>
      <c r="L946" s="11"/>
      <c r="M946" s="11"/>
      <c r="N946" s="11"/>
    </row>
    <row r="947" spans="6:14" ht="15.75" customHeight="1" x14ac:dyDescent="0.2">
      <c r="F947" s="11"/>
      <c r="G947" s="11"/>
      <c r="H947" s="11"/>
      <c r="I947" s="11"/>
      <c r="J947" s="11"/>
      <c r="K947" s="11"/>
      <c r="L947" s="11"/>
      <c r="M947" s="11"/>
      <c r="N947" s="11"/>
    </row>
    <row r="948" spans="6:14" ht="15.75" customHeight="1" x14ac:dyDescent="0.2">
      <c r="F948" s="11"/>
      <c r="G948" s="11"/>
      <c r="H948" s="11"/>
      <c r="I948" s="11"/>
      <c r="J948" s="11"/>
      <c r="K948" s="11"/>
      <c r="L948" s="11"/>
      <c r="M948" s="11"/>
      <c r="N948" s="11"/>
    </row>
    <row r="949" spans="6:14" ht="15.75" customHeight="1" x14ac:dyDescent="0.2">
      <c r="F949" s="11"/>
      <c r="G949" s="11"/>
      <c r="H949" s="11"/>
      <c r="I949" s="11"/>
      <c r="J949" s="11"/>
      <c r="K949" s="11"/>
      <c r="L949" s="11"/>
      <c r="M949" s="11"/>
      <c r="N949" s="11"/>
    </row>
    <row r="950" spans="6:14" ht="15.75" customHeight="1" x14ac:dyDescent="0.2">
      <c r="F950" s="11"/>
      <c r="G950" s="11"/>
      <c r="H950" s="11"/>
      <c r="I950" s="11"/>
      <c r="J950" s="11"/>
      <c r="K950" s="11"/>
      <c r="L950" s="11"/>
      <c r="M950" s="11"/>
      <c r="N950" s="11"/>
    </row>
    <row r="951" spans="6:14" ht="15.75" customHeight="1" x14ac:dyDescent="0.2">
      <c r="F951" s="11"/>
      <c r="G951" s="11"/>
      <c r="H951" s="11"/>
      <c r="I951" s="11"/>
      <c r="J951" s="11"/>
      <c r="K951" s="11"/>
      <c r="L951" s="11"/>
      <c r="M951" s="11"/>
      <c r="N951" s="11"/>
    </row>
    <row r="952" spans="6:14" ht="15.75" customHeight="1" x14ac:dyDescent="0.2">
      <c r="F952" s="11"/>
      <c r="G952" s="11"/>
      <c r="H952" s="11"/>
      <c r="I952" s="11"/>
      <c r="J952" s="11"/>
      <c r="K952" s="11"/>
      <c r="L952" s="11"/>
      <c r="M952" s="11"/>
      <c r="N952" s="11"/>
    </row>
    <row r="953" spans="6:14" ht="15.75" customHeight="1" x14ac:dyDescent="0.2">
      <c r="F953" s="11"/>
      <c r="G953" s="11"/>
      <c r="H953" s="11"/>
      <c r="I953" s="11"/>
      <c r="J953" s="11"/>
      <c r="K953" s="11"/>
      <c r="L953" s="11"/>
      <c r="M953" s="11"/>
      <c r="N953" s="11"/>
    </row>
    <row r="954" spans="6:14" ht="15.75" customHeight="1" x14ac:dyDescent="0.2">
      <c r="F954" s="11"/>
      <c r="G954" s="11"/>
      <c r="H954" s="11"/>
      <c r="I954" s="11"/>
      <c r="J954" s="11"/>
      <c r="K954" s="11"/>
      <c r="L954" s="11"/>
      <c r="M954" s="11"/>
      <c r="N954" s="11"/>
    </row>
    <row r="955" spans="6:14" ht="15.75" customHeight="1" x14ac:dyDescent="0.2">
      <c r="F955" s="11"/>
      <c r="G955" s="11"/>
      <c r="H955" s="11"/>
      <c r="I955" s="11"/>
      <c r="J955" s="11"/>
      <c r="K955" s="11"/>
      <c r="L955" s="11"/>
      <c r="M955" s="11"/>
      <c r="N955" s="11"/>
    </row>
    <row r="956" spans="6:14" ht="15.75" customHeight="1" x14ac:dyDescent="0.2">
      <c r="F956" s="11"/>
      <c r="G956" s="11"/>
      <c r="H956" s="11"/>
      <c r="I956" s="11"/>
      <c r="J956" s="11"/>
      <c r="K956" s="11"/>
      <c r="L956" s="11"/>
      <c r="M956" s="11"/>
      <c r="N956" s="11"/>
    </row>
    <row r="957" spans="6:14" ht="15.75" customHeight="1" x14ac:dyDescent="0.2">
      <c r="F957" s="11"/>
      <c r="G957" s="11"/>
      <c r="H957" s="11"/>
      <c r="I957" s="11"/>
      <c r="J957" s="11"/>
      <c r="K957" s="11"/>
      <c r="L957" s="11"/>
      <c r="M957" s="11"/>
      <c r="N957" s="11"/>
    </row>
    <row r="958" spans="6:14" ht="15.75" customHeight="1" x14ac:dyDescent="0.2">
      <c r="F958" s="11"/>
      <c r="G958" s="11"/>
      <c r="H958" s="11"/>
      <c r="I958" s="11"/>
      <c r="J958" s="11"/>
      <c r="K958" s="11"/>
      <c r="L958" s="11"/>
      <c r="M958" s="11"/>
      <c r="N958" s="11"/>
    </row>
    <row r="959" spans="6:14" ht="15.75" customHeight="1" x14ac:dyDescent="0.2">
      <c r="F959" s="11"/>
      <c r="G959" s="11"/>
      <c r="H959" s="11"/>
      <c r="I959" s="11"/>
      <c r="J959" s="11"/>
      <c r="K959" s="11"/>
      <c r="L959" s="11"/>
      <c r="M959" s="11"/>
      <c r="N959" s="11"/>
    </row>
    <row r="960" spans="6:14" ht="15.75" customHeight="1" x14ac:dyDescent="0.2">
      <c r="F960" s="11"/>
      <c r="G960" s="11"/>
      <c r="H960" s="11"/>
      <c r="I960" s="11"/>
      <c r="J960" s="11"/>
      <c r="K960" s="11"/>
      <c r="L960" s="11"/>
      <c r="M960" s="11"/>
      <c r="N960" s="11"/>
    </row>
    <row r="961" spans="6:14" ht="15.75" customHeight="1" x14ac:dyDescent="0.2">
      <c r="F961" s="11"/>
      <c r="G961" s="11"/>
      <c r="H961" s="11"/>
      <c r="I961" s="11"/>
      <c r="J961" s="11"/>
      <c r="K961" s="11"/>
      <c r="L961" s="11"/>
      <c r="M961" s="11"/>
      <c r="N961" s="11"/>
    </row>
    <row r="962" spans="6:14" ht="15.75" customHeight="1" x14ac:dyDescent="0.2">
      <c r="F962" s="11"/>
      <c r="G962" s="11"/>
      <c r="H962" s="11"/>
      <c r="I962" s="11"/>
      <c r="J962" s="11"/>
      <c r="K962" s="11"/>
      <c r="L962" s="11"/>
      <c r="M962" s="11"/>
      <c r="N962" s="11"/>
    </row>
    <row r="963" spans="6:14" ht="15.75" customHeight="1" x14ac:dyDescent="0.2">
      <c r="F963" s="11"/>
      <c r="G963" s="11"/>
      <c r="H963" s="11"/>
      <c r="I963" s="11"/>
      <c r="J963" s="11"/>
      <c r="K963" s="11"/>
      <c r="L963" s="11"/>
      <c r="M963" s="11"/>
      <c r="N963" s="11"/>
    </row>
    <row r="964" spans="6:14" ht="15.75" customHeight="1" x14ac:dyDescent="0.2">
      <c r="F964" s="11"/>
      <c r="G964" s="11"/>
      <c r="H964" s="11"/>
      <c r="I964" s="11"/>
      <c r="J964" s="11"/>
      <c r="K964" s="11"/>
      <c r="L964" s="11"/>
      <c r="M964" s="11"/>
      <c r="N964" s="11"/>
    </row>
    <row r="965" spans="6:14" ht="15.75" customHeight="1" x14ac:dyDescent="0.2">
      <c r="F965" s="11"/>
      <c r="G965" s="11"/>
      <c r="H965" s="11"/>
      <c r="I965" s="11"/>
      <c r="J965" s="11"/>
      <c r="K965" s="11"/>
      <c r="L965" s="11"/>
      <c r="M965" s="11"/>
      <c r="N965" s="11"/>
    </row>
    <row r="966" spans="6:14" ht="15.75" customHeight="1" x14ac:dyDescent="0.2">
      <c r="F966" s="11"/>
      <c r="G966" s="11"/>
      <c r="H966" s="11"/>
      <c r="I966" s="11"/>
      <c r="J966" s="11"/>
      <c r="K966" s="11"/>
      <c r="L966" s="11"/>
      <c r="M966" s="11"/>
      <c r="N966" s="11"/>
    </row>
    <row r="967" spans="6:14" ht="15.75" customHeight="1" x14ac:dyDescent="0.2">
      <c r="F967" s="11"/>
      <c r="G967" s="11"/>
      <c r="H967" s="11"/>
      <c r="I967" s="11"/>
      <c r="J967" s="11"/>
      <c r="K967" s="11"/>
      <c r="L967" s="11"/>
      <c r="M967" s="11"/>
      <c r="N967" s="11"/>
    </row>
    <row r="968" spans="6:14" ht="15.75" customHeight="1" x14ac:dyDescent="0.2">
      <c r="F968" s="11"/>
      <c r="G968" s="11"/>
      <c r="H968" s="11"/>
      <c r="I968" s="11"/>
      <c r="J968" s="11"/>
      <c r="K968" s="11"/>
      <c r="L968" s="11"/>
      <c r="M968" s="11"/>
      <c r="N968" s="11"/>
    </row>
    <row r="969" spans="6:14" ht="15.75" customHeight="1" x14ac:dyDescent="0.2">
      <c r="F969" s="11"/>
      <c r="G969" s="11"/>
      <c r="H969" s="11"/>
      <c r="I969" s="11"/>
      <c r="J969" s="11"/>
      <c r="K969" s="11"/>
      <c r="L969" s="11"/>
      <c r="M969" s="11"/>
      <c r="N969" s="11"/>
    </row>
    <row r="970" spans="6:14" ht="15.75" customHeight="1" x14ac:dyDescent="0.2">
      <c r="F970" s="11"/>
      <c r="G970" s="11"/>
      <c r="H970" s="11"/>
      <c r="I970" s="11"/>
      <c r="J970" s="11"/>
      <c r="K970" s="11"/>
      <c r="L970" s="11"/>
      <c r="M970" s="11"/>
      <c r="N970" s="11"/>
    </row>
    <row r="971" spans="6:14" ht="15.75" customHeight="1" x14ac:dyDescent="0.2">
      <c r="F971" s="11"/>
      <c r="G971" s="11"/>
      <c r="H971" s="11"/>
      <c r="I971" s="11"/>
      <c r="J971" s="11"/>
      <c r="K971" s="11"/>
      <c r="L971" s="11"/>
      <c r="M971" s="11"/>
      <c r="N971" s="11"/>
    </row>
    <row r="972" spans="6:14" ht="15.75" customHeight="1" x14ac:dyDescent="0.2">
      <c r="F972" s="11"/>
      <c r="G972" s="11"/>
      <c r="H972" s="11"/>
      <c r="I972" s="11"/>
      <c r="J972" s="11"/>
      <c r="K972" s="11"/>
      <c r="L972" s="11"/>
      <c r="M972" s="11"/>
      <c r="N972" s="11"/>
    </row>
    <row r="973" spans="6:14" ht="15.75" customHeight="1" x14ac:dyDescent="0.2">
      <c r="F973" s="11"/>
      <c r="G973" s="11"/>
      <c r="H973" s="11"/>
      <c r="I973" s="11"/>
      <c r="J973" s="11"/>
      <c r="K973" s="11"/>
      <c r="L973" s="11"/>
      <c r="M973" s="11"/>
      <c r="N973" s="11"/>
    </row>
    <row r="974" spans="6:14" ht="15.75" customHeight="1" x14ac:dyDescent="0.2">
      <c r="F974" s="11"/>
      <c r="G974" s="11"/>
      <c r="H974" s="11"/>
      <c r="I974" s="11"/>
      <c r="J974" s="11"/>
      <c r="K974" s="11"/>
      <c r="L974" s="11"/>
      <c r="M974" s="11"/>
      <c r="N974" s="11"/>
    </row>
    <row r="975" spans="6:14" ht="15.75" customHeight="1" x14ac:dyDescent="0.2">
      <c r="F975" s="11"/>
      <c r="G975" s="11"/>
      <c r="H975" s="11"/>
      <c r="I975" s="11"/>
      <c r="J975" s="11"/>
      <c r="K975" s="11"/>
      <c r="L975" s="11"/>
      <c r="M975" s="11"/>
      <c r="N975" s="11"/>
    </row>
    <row r="976" spans="6:14" ht="15.75" customHeight="1" x14ac:dyDescent="0.2">
      <c r="F976" s="11"/>
      <c r="G976" s="11"/>
      <c r="H976" s="11"/>
      <c r="I976" s="11"/>
      <c r="J976" s="11"/>
      <c r="K976" s="11"/>
      <c r="L976" s="11"/>
      <c r="M976" s="11"/>
      <c r="N976" s="11"/>
    </row>
    <row r="977" spans="6:14" ht="15.75" customHeight="1" x14ac:dyDescent="0.2">
      <c r="F977" s="11"/>
      <c r="G977" s="11"/>
      <c r="H977" s="11"/>
      <c r="I977" s="11"/>
      <c r="J977" s="11"/>
      <c r="K977" s="11"/>
      <c r="L977" s="11"/>
      <c r="M977" s="11"/>
      <c r="N977" s="11"/>
    </row>
    <row r="978" spans="6:14" ht="15.75" customHeight="1" x14ac:dyDescent="0.2">
      <c r="F978" s="11"/>
      <c r="G978" s="11"/>
      <c r="H978" s="11"/>
      <c r="I978" s="11"/>
      <c r="J978" s="11"/>
      <c r="K978" s="11"/>
      <c r="L978" s="11"/>
      <c r="M978" s="11"/>
      <c r="N978" s="11"/>
    </row>
    <row r="979" spans="6:14" ht="15.75" customHeight="1" x14ac:dyDescent="0.2">
      <c r="F979" s="11"/>
      <c r="G979" s="11"/>
      <c r="H979" s="11"/>
      <c r="I979" s="11"/>
      <c r="J979" s="11"/>
      <c r="K979" s="11"/>
      <c r="L979" s="11"/>
      <c r="M979" s="11"/>
      <c r="N979" s="11"/>
    </row>
    <row r="980" spans="6:14" ht="15.75" customHeight="1" x14ac:dyDescent="0.2">
      <c r="F980" s="11"/>
      <c r="G980" s="11"/>
      <c r="H980" s="11"/>
      <c r="I980" s="11"/>
      <c r="J980" s="11"/>
      <c r="K980" s="11"/>
      <c r="L980" s="11"/>
      <c r="M980" s="11"/>
      <c r="N980" s="11"/>
    </row>
    <row r="981" spans="6:14" ht="15.75" customHeight="1" x14ac:dyDescent="0.2">
      <c r="F981" s="11"/>
      <c r="G981" s="11"/>
      <c r="H981" s="11"/>
      <c r="I981" s="11"/>
      <c r="J981" s="11"/>
      <c r="K981" s="11"/>
      <c r="L981" s="11"/>
      <c r="M981" s="11"/>
      <c r="N981" s="11"/>
    </row>
    <row r="982" spans="6:14" ht="15.75" customHeight="1" x14ac:dyDescent="0.2">
      <c r="F982" s="11"/>
      <c r="G982" s="11"/>
      <c r="H982" s="11"/>
      <c r="I982" s="11"/>
      <c r="J982" s="11"/>
      <c r="K982" s="11"/>
      <c r="L982" s="11"/>
      <c r="M982" s="11"/>
      <c r="N982" s="11"/>
    </row>
    <row r="983" spans="6:14" ht="15.75" customHeight="1" x14ac:dyDescent="0.2">
      <c r="F983" s="11"/>
      <c r="G983" s="11"/>
      <c r="H983" s="11"/>
      <c r="I983" s="11"/>
      <c r="J983" s="11"/>
      <c r="K983" s="11"/>
      <c r="L983" s="11"/>
      <c r="M983" s="11"/>
      <c r="N983" s="11"/>
    </row>
    <row r="984" spans="6:14" ht="15.75" customHeight="1" x14ac:dyDescent="0.2">
      <c r="F984" s="11"/>
      <c r="G984" s="11"/>
      <c r="H984" s="11"/>
      <c r="I984" s="11"/>
      <c r="J984" s="11"/>
      <c r="K984" s="11"/>
      <c r="L984" s="11"/>
      <c r="M984" s="11"/>
      <c r="N984" s="11"/>
    </row>
    <row r="985" spans="6:14" ht="15.75" customHeight="1" x14ac:dyDescent="0.2">
      <c r="F985" s="11"/>
      <c r="G985" s="11"/>
      <c r="H985" s="11"/>
      <c r="I985" s="11"/>
      <c r="J985" s="11"/>
      <c r="K985" s="11"/>
      <c r="L985" s="11"/>
      <c r="M985" s="11"/>
      <c r="N985" s="11"/>
    </row>
    <row r="986" spans="6:14" ht="15.75" customHeight="1" x14ac:dyDescent="0.2">
      <c r="F986" s="11"/>
      <c r="G986" s="11"/>
      <c r="H986" s="11"/>
      <c r="I986" s="11"/>
      <c r="J986" s="11"/>
      <c r="K986" s="11"/>
      <c r="L986" s="11"/>
      <c r="M986" s="11"/>
      <c r="N986" s="11"/>
    </row>
    <row r="987" spans="6:14" ht="15.75" customHeight="1" x14ac:dyDescent="0.2">
      <c r="F987" s="11"/>
      <c r="G987" s="11"/>
      <c r="H987" s="11"/>
      <c r="I987" s="11"/>
      <c r="J987" s="11"/>
      <c r="K987" s="11"/>
      <c r="L987" s="11"/>
      <c r="M987" s="11"/>
      <c r="N987" s="11"/>
    </row>
    <row r="988" spans="6:14" ht="15.75" customHeight="1" x14ac:dyDescent="0.2">
      <c r="F988" s="11"/>
      <c r="G988" s="11"/>
      <c r="H988" s="11"/>
      <c r="I988" s="11"/>
      <c r="J988" s="11"/>
      <c r="K988" s="11"/>
      <c r="L988" s="11"/>
      <c r="M988" s="11"/>
      <c r="N988" s="11"/>
    </row>
    <row r="989" spans="6:14" ht="15.75" customHeight="1" x14ac:dyDescent="0.2">
      <c r="F989" s="11"/>
      <c r="G989" s="11"/>
      <c r="H989" s="11"/>
      <c r="I989" s="11"/>
      <c r="J989" s="11"/>
      <c r="K989" s="11"/>
      <c r="L989" s="11"/>
      <c r="M989" s="11"/>
      <c r="N989" s="11"/>
    </row>
    <row r="990" spans="6:14" ht="15.75" customHeight="1" x14ac:dyDescent="0.2">
      <c r="F990" s="11"/>
      <c r="G990" s="11"/>
      <c r="H990" s="11"/>
      <c r="I990" s="11"/>
      <c r="J990" s="11"/>
      <c r="K990" s="11"/>
      <c r="L990" s="11"/>
      <c r="M990" s="11"/>
      <c r="N990" s="11"/>
    </row>
    <row r="991" spans="6:14" ht="15.75" customHeight="1" x14ac:dyDescent="0.2">
      <c r="F991" s="11"/>
      <c r="G991" s="11"/>
      <c r="H991" s="11"/>
      <c r="I991" s="11"/>
      <c r="J991" s="11"/>
      <c r="K991" s="11"/>
      <c r="L991" s="11"/>
      <c r="M991" s="11"/>
      <c r="N991" s="11"/>
    </row>
    <row r="992" spans="6:14" ht="15.75" customHeight="1" x14ac:dyDescent="0.2">
      <c r="F992" s="11"/>
      <c r="G992" s="11"/>
      <c r="H992" s="11"/>
      <c r="I992" s="11"/>
      <c r="J992" s="11"/>
      <c r="K992" s="11"/>
      <c r="L992" s="11"/>
      <c r="M992" s="11"/>
      <c r="N992" s="11"/>
    </row>
    <row r="993" spans="6:14" ht="15.75" customHeight="1" x14ac:dyDescent="0.2">
      <c r="F993" s="11"/>
      <c r="G993" s="11"/>
      <c r="H993" s="11"/>
      <c r="I993" s="11"/>
      <c r="J993" s="11"/>
      <c r="K993" s="11"/>
      <c r="L993" s="11"/>
      <c r="M993" s="11"/>
      <c r="N993" s="11"/>
    </row>
  </sheetData>
  <pageMargins left="0.75" right="0.75" top="1" bottom="1" header="0" footer="0"/>
  <pageSetup paperSize="9" orientation="portrait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ErrorMessage="1" xr:uid="{00000000-0002-0000-0000-000000000000}">
          <x14:formula1>
            <xm:f>Reference!$A$2:$A$108</xm:f>
          </x14:formula1>
          <xm:sqref>A2:A141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21:A1000"/>
  <sheetViews>
    <sheetView workbookViewId="0"/>
  </sheetViews>
  <sheetFormatPr defaultColWidth="12.5703125" defaultRowHeight="15" customHeight="1" x14ac:dyDescent="0.2"/>
  <cols>
    <col min="1" max="6" width="12.5703125" customWidth="1"/>
  </cols>
  <sheetData>
    <row r="21" ht="15.75" customHeight="1" x14ac:dyDescent="0.2"/>
    <row r="22" ht="15.75" customHeight="1" x14ac:dyDescent="0.2"/>
    <row r="23" ht="15.75" customHeight="1" x14ac:dyDescent="0.2"/>
    <row r="24" ht="15.75" customHeight="1" x14ac:dyDescent="0.2"/>
    <row r="25" ht="15.75" customHeight="1" x14ac:dyDescent="0.2"/>
    <row r="26" ht="15.75" customHeight="1" x14ac:dyDescent="0.2"/>
    <row r="27" ht="15.75" customHeight="1" x14ac:dyDescent="0.2"/>
    <row r="28" ht="15.75" customHeight="1" x14ac:dyDescent="0.2"/>
    <row r="29" ht="15.75" customHeight="1" x14ac:dyDescent="0.2"/>
    <row r="30" ht="15.75" customHeight="1" x14ac:dyDescent="0.2"/>
    <row r="31" ht="15.75" customHeight="1" x14ac:dyDescent="0.2"/>
    <row r="32" ht="15.75" customHeight="1" x14ac:dyDescent="0.2"/>
    <row r="33" ht="15.75" customHeight="1" x14ac:dyDescent="0.2"/>
    <row r="34" ht="15.75" customHeight="1" x14ac:dyDescent="0.2"/>
    <row r="35" ht="15.75" customHeight="1" x14ac:dyDescent="0.2"/>
    <row r="36" ht="15.75" customHeight="1" x14ac:dyDescent="0.2"/>
    <row r="37" ht="15.75" customHeight="1" x14ac:dyDescent="0.2"/>
    <row r="38" ht="15.75" customHeight="1" x14ac:dyDescent="0.2"/>
    <row r="39" ht="15.75" customHeight="1" x14ac:dyDescent="0.2"/>
    <row r="40" ht="15.75" customHeight="1" x14ac:dyDescent="0.2"/>
    <row r="41" ht="15.75" customHeight="1" x14ac:dyDescent="0.2"/>
    <row r="42" ht="15.75" customHeight="1" x14ac:dyDescent="0.2"/>
    <row r="43" ht="15.75" customHeight="1" x14ac:dyDescent="0.2"/>
    <row r="44" ht="15.75" customHeight="1" x14ac:dyDescent="0.2"/>
    <row r="45" ht="15.75" customHeight="1" x14ac:dyDescent="0.2"/>
    <row r="46" ht="15.75" customHeight="1" x14ac:dyDescent="0.2"/>
    <row r="47" ht="15.75" customHeight="1" x14ac:dyDescent="0.2"/>
    <row r="48" ht="15.75" customHeight="1" x14ac:dyDescent="0.2"/>
    <row r="49" ht="15.75" customHeight="1" x14ac:dyDescent="0.2"/>
    <row r="50" ht="15.75" customHeight="1" x14ac:dyDescent="0.2"/>
    <row r="51" ht="15.75" customHeight="1" x14ac:dyDescent="0.2"/>
    <row r="52" ht="15.75" customHeight="1" x14ac:dyDescent="0.2"/>
    <row r="53" ht="15.75" customHeight="1" x14ac:dyDescent="0.2"/>
    <row r="54" ht="15.75" customHeight="1" x14ac:dyDescent="0.2"/>
    <row r="55" ht="15.75" customHeight="1" x14ac:dyDescent="0.2"/>
    <row r="56" ht="15.75" customHeight="1" x14ac:dyDescent="0.2"/>
    <row r="57" ht="15.75" customHeight="1" x14ac:dyDescent="0.2"/>
    <row r="58" ht="15.75" customHeight="1" x14ac:dyDescent="0.2"/>
    <row r="59" ht="15.75" customHeight="1" x14ac:dyDescent="0.2"/>
    <row r="60" ht="15.75" customHeight="1" x14ac:dyDescent="0.2"/>
    <row r="61" ht="15.75" customHeight="1" x14ac:dyDescent="0.2"/>
    <row r="62" ht="15.75" customHeight="1" x14ac:dyDescent="0.2"/>
    <row r="63" ht="15.75" customHeight="1" x14ac:dyDescent="0.2"/>
    <row r="6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5" bottom="0.7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000"/>
  <sheetViews>
    <sheetView workbookViewId="0">
      <pane ySplit="1" topLeftCell="A2" activePane="bottomLeft" state="frozen"/>
      <selection pane="bottomLeft" activeCell="B3" sqref="B3"/>
    </sheetView>
  </sheetViews>
  <sheetFormatPr defaultColWidth="12.5703125" defaultRowHeight="15" customHeight="1" x14ac:dyDescent="0.2"/>
  <cols>
    <col min="1" max="1" width="24.5703125" customWidth="1"/>
    <col min="2" max="2" width="126.140625" customWidth="1"/>
    <col min="3" max="3" width="25.140625" customWidth="1"/>
    <col min="4" max="4" width="11.42578125" customWidth="1"/>
    <col min="5" max="5" width="29.140625" customWidth="1"/>
    <col min="6" max="6" width="11.42578125" customWidth="1"/>
  </cols>
  <sheetData>
    <row r="1" spans="1:3" ht="12.75" customHeight="1" x14ac:dyDescent="0.2">
      <c r="A1" s="6" t="s">
        <v>417</v>
      </c>
      <c r="B1" s="6" t="s">
        <v>418</v>
      </c>
      <c r="C1" s="6" t="s">
        <v>419</v>
      </c>
    </row>
    <row r="2" spans="1:3" ht="12.75" customHeight="1" x14ac:dyDescent="0.2">
      <c r="A2" s="5" t="s">
        <v>420</v>
      </c>
      <c r="B2" s="6" t="s">
        <v>421</v>
      </c>
      <c r="C2" s="6" t="s">
        <v>422</v>
      </c>
    </row>
    <row r="3" spans="1:3" ht="12.75" customHeight="1" x14ac:dyDescent="0.2">
      <c r="A3" s="5" t="s">
        <v>423</v>
      </c>
      <c r="B3" s="6" t="s">
        <v>424</v>
      </c>
      <c r="C3" s="6" t="s">
        <v>422</v>
      </c>
    </row>
    <row r="4" spans="1:3" ht="12.75" customHeight="1" x14ac:dyDescent="0.2">
      <c r="A4" s="5" t="s">
        <v>425</v>
      </c>
      <c r="B4" s="6" t="s">
        <v>426</v>
      </c>
      <c r="C4" s="6" t="s">
        <v>427</v>
      </c>
    </row>
    <row r="5" spans="1:3" ht="12.75" customHeight="1" x14ac:dyDescent="0.2">
      <c r="A5" s="5" t="s">
        <v>16</v>
      </c>
      <c r="B5" s="6" t="s">
        <v>428</v>
      </c>
      <c r="C5" s="6" t="s">
        <v>427</v>
      </c>
    </row>
    <row r="6" spans="1:3" ht="12.75" customHeight="1" x14ac:dyDescent="0.2">
      <c r="A6" s="4" t="s">
        <v>11</v>
      </c>
      <c r="B6" s="6" t="s">
        <v>429</v>
      </c>
      <c r="C6" s="6" t="s">
        <v>430</v>
      </c>
    </row>
    <row r="7" spans="1:3" ht="12.75" customHeight="1" x14ac:dyDescent="0.2">
      <c r="A7" s="5" t="s">
        <v>431</v>
      </c>
      <c r="B7" s="6" t="s">
        <v>432</v>
      </c>
      <c r="C7" s="6" t="s">
        <v>427</v>
      </c>
    </row>
    <row r="8" spans="1:3" ht="12.75" customHeight="1" x14ac:dyDescent="0.2">
      <c r="A8" s="5" t="s">
        <v>17</v>
      </c>
      <c r="B8" s="6" t="s">
        <v>433</v>
      </c>
      <c r="C8" s="6" t="s">
        <v>427</v>
      </c>
    </row>
    <row r="9" spans="1:3" ht="12.75" customHeight="1" x14ac:dyDescent="0.2">
      <c r="A9" s="4" t="s">
        <v>18</v>
      </c>
      <c r="B9" s="6" t="s">
        <v>434</v>
      </c>
      <c r="C9" s="6" t="s">
        <v>430</v>
      </c>
    </row>
    <row r="10" spans="1:3" ht="12.75" customHeight="1" x14ac:dyDescent="0.2">
      <c r="A10" s="5" t="s">
        <v>20</v>
      </c>
      <c r="B10" s="6" t="s">
        <v>435</v>
      </c>
      <c r="C10" s="6" t="s">
        <v>427</v>
      </c>
    </row>
    <row r="11" spans="1:3" ht="12.75" customHeight="1" x14ac:dyDescent="0.2">
      <c r="A11" s="5" t="s">
        <v>21</v>
      </c>
      <c r="B11" s="6" t="s">
        <v>436</v>
      </c>
      <c r="C11" s="6" t="s">
        <v>427</v>
      </c>
    </row>
    <row r="12" spans="1:3" ht="12.75" customHeight="1" x14ac:dyDescent="0.2">
      <c r="A12" s="5" t="s">
        <v>22</v>
      </c>
      <c r="B12" s="6" t="s">
        <v>437</v>
      </c>
      <c r="C12" s="6" t="s">
        <v>427</v>
      </c>
    </row>
    <row r="13" spans="1:3" ht="12.75" customHeight="1" x14ac:dyDescent="0.2">
      <c r="A13" s="5" t="s">
        <v>23</v>
      </c>
      <c r="B13" s="6" t="s">
        <v>438</v>
      </c>
      <c r="C13" s="6" t="s">
        <v>427</v>
      </c>
    </row>
    <row r="14" spans="1:3" ht="12.75" customHeight="1" x14ac:dyDescent="0.2">
      <c r="A14" s="5" t="s">
        <v>24</v>
      </c>
      <c r="B14" s="6" t="s">
        <v>439</v>
      </c>
      <c r="C14" s="6" t="s">
        <v>427</v>
      </c>
    </row>
    <row r="15" spans="1:3" ht="12.75" customHeight="1" x14ac:dyDescent="0.2">
      <c r="A15" s="5" t="s">
        <v>25</v>
      </c>
      <c r="B15" s="6" t="s">
        <v>440</v>
      </c>
      <c r="C15" s="6" t="s">
        <v>427</v>
      </c>
    </row>
    <row r="16" spans="1:3" ht="12.75" customHeight="1" x14ac:dyDescent="0.2">
      <c r="A16" s="4" t="s">
        <v>6</v>
      </c>
      <c r="B16" s="6" t="s">
        <v>441</v>
      </c>
      <c r="C16" s="6" t="s">
        <v>430</v>
      </c>
    </row>
    <row r="17" spans="1:3" ht="12.75" customHeight="1" x14ac:dyDescent="0.2">
      <c r="A17" s="5" t="s">
        <v>26</v>
      </c>
      <c r="B17" s="6" t="s">
        <v>442</v>
      </c>
      <c r="C17" s="6" t="s">
        <v>427</v>
      </c>
    </row>
    <row r="18" spans="1:3" ht="12.75" customHeight="1" x14ac:dyDescent="0.2">
      <c r="A18" s="5" t="s">
        <v>27</v>
      </c>
      <c r="B18" s="6" t="s">
        <v>443</v>
      </c>
      <c r="C18" s="6" t="s">
        <v>427</v>
      </c>
    </row>
    <row r="19" spans="1:3" ht="12.75" customHeight="1" x14ac:dyDescent="0.2">
      <c r="A19" s="5" t="s">
        <v>28</v>
      </c>
      <c r="B19" s="6" t="s">
        <v>444</v>
      </c>
      <c r="C19" s="6" t="s">
        <v>427</v>
      </c>
    </row>
    <row r="20" spans="1:3" ht="12.75" customHeight="1" x14ac:dyDescent="0.2">
      <c r="A20" s="5" t="s">
        <v>29</v>
      </c>
      <c r="B20" s="6" t="s">
        <v>445</v>
      </c>
      <c r="C20" s="6" t="s">
        <v>427</v>
      </c>
    </row>
    <row r="21" spans="1:3" ht="12.75" customHeight="1" x14ac:dyDescent="0.2">
      <c r="A21" s="4" t="s">
        <v>9</v>
      </c>
      <c r="B21" s="6" t="s">
        <v>446</v>
      </c>
      <c r="C21" s="6" t="s">
        <v>430</v>
      </c>
    </row>
    <row r="22" spans="1:3" ht="12.75" customHeight="1" x14ac:dyDescent="0.2">
      <c r="A22" s="4" t="s">
        <v>10</v>
      </c>
      <c r="B22" s="6" t="s">
        <v>447</v>
      </c>
      <c r="C22" s="6" t="s">
        <v>430</v>
      </c>
    </row>
    <row r="23" spans="1:3" ht="12.75" customHeight="1" x14ac:dyDescent="0.2">
      <c r="A23" s="5" t="s">
        <v>30</v>
      </c>
      <c r="B23" s="6" t="s">
        <v>448</v>
      </c>
      <c r="C23" s="6" t="s">
        <v>449</v>
      </c>
    </row>
    <row r="24" spans="1:3" ht="12.75" customHeight="1" x14ac:dyDescent="0.2">
      <c r="A24" s="5" t="s">
        <v>31</v>
      </c>
      <c r="B24" s="6" t="s">
        <v>450</v>
      </c>
      <c r="C24" s="6" t="s">
        <v>427</v>
      </c>
    </row>
    <row r="25" spans="1:3" ht="12.75" customHeight="1" x14ac:dyDescent="0.2">
      <c r="A25" s="5" t="s">
        <v>32</v>
      </c>
      <c r="B25" s="6" t="s">
        <v>451</v>
      </c>
      <c r="C25" s="6" t="s">
        <v>449</v>
      </c>
    </row>
    <row r="26" spans="1:3" ht="12.75" customHeight="1" x14ac:dyDescent="0.2">
      <c r="A26" s="5" t="s">
        <v>33</v>
      </c>
      <c r="B26" s="6" t="s">
        <v>452</v>
      </c>
      <c r="C26" s="6" t="s">
        <v>427</v>
      </c>
    </row>
    <row r="27" spans="1:3" ht="12.75" customHeight="1" x14ac:dyDescent="0.2">
      <c r="A27" s="5" t="s">
        <v>34</v>
      </c>
      <c r="B27" s="6" t="s">
        <v>453</v>
      </c>
      <c r="C27" s="6" t="s">
        <v>427</v>
      </c>
    </row>
    <row r="28" spans="1:3" ht="12.75" customHeight="1" x14ac:dyDescent="0.2">
      <c r="A28" s="5" t="s">
        <v>35</v>
      </c>
      <c r="B28" s="6" t="s">
        <v>454</v>
      </c>
      <c r="C28" s="6" t="s">
        <v>449</v>
      </c>
    </row>
    <row r="29" spans="1:3" ht="12.75" customHeight="1" x14ac:dyDescent="0.2">
      <c r="A29" s="5" t="s">
        <v>36</v>
      </c>
      <c r="B29" s="6" t="s">
        <v>455</v>
      </c>
      <c r="C29" s="6" t="s">
        <v>456</v>
      </c>
    </row>
    <row r="30" spans="1:3" ht="12.75" customHeight="1" x14ac:dyDescent="0.2">
      <c r="A30" s="5" t="s">
        <v>37</v>
      </c>
      <c r="B30" s="6" t="s">
        <v>457</v>
      </c>
      <c r="C30" s="6" t="s">
        <v>456</v>
      </c>
    </row>
    <row r="31" spans="1:3" ht="12.75" customHeight="1" x14ac:dyDescent="0.2">
      <c r="A31" s="5" t="s">
        <v>38</v>
      </c>
      <c r="B31" s="6" t="s">
        <v>458</v>
      </c>
      <c r="C31" s="6" t="s">
        <v>456</v>
      </c>
    </row>
    <row r="32" spans="1:3" ht="12.75" customHeight="1" x14ac:dyDescent="0.2">
      <c r="A32" s="5" t="s">
        <v>39</v>
      </c>
      <c r="B32" s="6" t="s">
        <v>459</v>
      </c>
      <c r="C32" s="6" t="s">
        <v>456</v>
      </c>
    </row>
    <row r="33" spans="1:3" ht="12.75" customHeight="1" x14ac:dyDescent="0.2">
      <c r="A33" s="5" t="s">
        <v>40</v>
      </c>
      <c r="B33" s="6" t="s">
        <v>460</v>
      </c>
      <c r="C33" s="6" t="s">
        <v>456</v>
      </c>
    </row>
    <row r="34" spans="1:3" ht="12.75" customHeight="1" x14ac:dyDescent="0.2">
      <c r="A34" s="5" t="s">
        <v>41</v>
      </c>
      <c r="B34" s="6" t="s">
        <v>461</v>
      </c>
      <c r="C34" s="6" t="s">
        <v>456</v>
      </c>
    </row>
    <row r="35" spans="1:3" ht="12.75" customHeight="1" x14ac:dyDescent="0.2">
      <c r="A35" s="5" t="s">
        <v>42</v>
      </c>
      <c r="B35" s="6" t="s">
        <v>462</v>
      </c>
      <c r="C35" s="6" t="s">
        <v>456</v>
      </c>
    </row>
    <row r="36" spans="1:3" ht="12.75" customHeight="1" x14ac:dyDescent="0.2">
      <c r="A36" s="6" t="s">
        <v>43</v>
      </c>
      <c r="B36" s="6" t="s">
        <v>463</v>
      </c>
      <c r="C36" s="6" t="s">
        <v>456</v>
      </c>
    </row>
    <row r="37" spans="1:3" ht="12.75" customHeight="1" x14ac:dyDescent="0.2">
      <c r="A37" s="5" t="s">
        <v>464</v>
      </c>
      <c r="B37" s="6" t="s">
        <v>465</v>
      </c>
      <c r="C37" s="6" t="s">
        <v>456</v>
      </c>
    </row>
    <row r="38" spans="1:3" ht="12.75" customHeight="1" x14ac:dyDescent="0.2">
      <c r="A38" s="5" t="s">
        <v>7</v>
      </c>
      <c r="B38" s="6" t="s">
        <v>466</v>
      </c>
      <c r="C38" s="6" t="s">
        <v>430</v>
      </c>
    </row>
    <row r="39" spans="1:3" ht="12.75" customHeight="1" x14ac:dyDescent="0.2">
      <c r="A39" s="5" t="s">
        <v>467</v>
      </c>
      <c r="B39" s="6" t="s">
        <v>468</v>
      </c>
      <c r="C39" s="6" t="s">
        <v>430</v>
      </c>
    </row>
    <row r="40" spans="1:3" ht="12.75" customHeight="1" x14ac:dyDescent="0.2">
      <c r="A40" s="5" t="s">
        <v>12</v>
      </c>
      <c r="B40" s="6" t="s">
        <v>469</v>
      </c>
      <c r="C40" s="6" t="s">
        <v>430</v>
      </c>
    </row>
    <row r="41" spans="1:3" ht="12.75" customHeight="1" x14ac:dyDescent="0.2">
      <c r="A41" s="5"/>
      <c r="C41" s="6" t="s">
        <v>430</v>
      </c>
    </row>
    <row r="42" spans="1:3" ht="12.75" customHeight="1" x14ac:dyDescent="0.2">
      <c r="A42" s="5"/>
    </row>
    <row r="43" spans="1:3" ht="12.75" customHeight="1" x14ac:dyDescent="0.2">
      <c r="A43" s="5"/>
    </row>
    <row r="44" spans="1:3" ht="12.75" customHeight="1" x14ac:dyDescent="0.2">
      <c r="A44" s="5"/>
    </row>
    <row r="45" spans="1:3" ht="12.75" customHeight="1" x14ac:dyDescent="0.2">
      <c r="A45" s="5"/>
    </row>
    <row r="46" spans="1:3" ht="12.75" customHeight="1" x14ac:dyDescent="0.2">
      <c r="A46" s="5"/>
    </row>
    <row r="47" spans="1:3" ht="12.75" customHeight="1" x14ac:dyDescent="0.2">
      <c r="A47" s="5"/>
    </row>
    <row r="48" spans="1:3" ht="12.75" customHeight="1" x14ac:dyDescent="0.2">
      <c r="A48" s="5"/>
    </row>
    <row r="49" spans="1:1" ht="12.75" customHeight="1" x14ac:dyDescent="0.2">
      <c r="A49" s="5"/>
    </row>
    <row r="50" spans="1:1" ht="12.75" customHeight="1" x14ac:dyDescent="0.2">
      <c r="A50" s="5"/>
    </row>
    <row r="51" spans="1:1" ht="12.75" customHeight="1" x14ac:dyDescent="0.2">
      <c r="A51" s="5"/>
    </row>
    <row r="52" spans="1:1" ht="12.75" customHeight="1" x14ac:dyDescent="0.2">
      <c r="A52" s="5"/>
    </row>
    <row r="53" spans="1:1" ht="12.75" customHeight="1" x14ac:dyDescent="0.2">
      <c r="A53" s="5"/>
    </row>
    <row r="54" spans="1:1" ht="12.75" customHeight="1" x14ac:dyDescent="0.2">
      <c r="A54" s="5"/>
    </row>
    <row r="55" spans="1:1" ht="12.75" customHeight="1" x14ac:dyDescent="0.2">
      <c r="A55" s="5"/>
    </row>
    <row r="56" spans="1:1" ht="12.75" customHeight="1" x14ac:dyDescent="0.2">
      <c r="A56" s="5"/>
    </row>
    <row r="57" spans="1:1" ht="12.75" customHeight="1" x14ac:dyDescent="0.2">
      <c r="A57" s="5"/>
    </row>
    <row r="58" spans="1:1" ht="12.75" customHeight="1" x14ac:dyDescent="0.2">
      <c r="A58" s="5"/>
    </row>
    <row r="59" spans="1:1" ht="12.75" customHeight="1" x14ac:dyDescent="0.2">
      <c r="A59" s="5"/>
    </row>
    <row r="60" spans="1:1" ht="12.75" customHeight="1" x14ac:dyDescent="0.2">
      <c r="A60" s="5"/>
    </row>
    <row r="61" spans="1:1" ht="12.75" customHeight="1" x14ac:dyDescent="0.2">
      <c r="A61" s="5"/>
    </row>
    <row r="62" spans="1:1" ht="12.75" customHeight="1" x14ac:dyDescent="0.2">
      <c r="A62" s="5"/>
    </row>
    <row r="63" spans="1:1" ht="12.75" customHeight="1" x14ac:dyDescent="0.2">
      <c r="A63" s="5"/>
    </row>
    <row r="64" spans="1:1" ht="12.75" customHeight="1" x14ac:dyDescent="0.2">
      <c r="A64" s="5"/>
    </row>
    <row r="65" spans="1:1" ht="12.75" customHeight="1" x14ac:dyDescent="0.2">
      <c r="A65" s="5"/>
    </row>
    <row r="66" spans="1:1" ht="12.75" customHeight="1" x14ac:dyDescent="0.2">
      <c r="A66" s="5"/>
    </row>
    <row r="67" spans="1:1" ht="12.75" customHeight="1" x14ac:dyDescent="0.2">
      <c r="A67" s="5"/>
    </row>
    <row r="68" spans="1:1" ht="12.75" customHeight="1" x14ac:dyDescent="0.2">
      <c r="A68" s="5"/>
    </row>
    <row r="69" spans="1:1" ht="12.75" customHeight="1" x14ac:dyDescent="0.2">
      <c r="A69" s="5"/>
    </row>
    <row r="70" spans="1:1" ht="12.75" customHeight="1" x14ac:dyDescent="0.2">
      <c r="A70" s="5"/>
    </row>
    <row r="71" spans="1:1" ht="12.75" customHeight="1" x14ac:dyDescent="0.2">
      <c r="A71" s="5"/>
    </row>
    <row r="72" spans="1:1" ht="12.75" customHeight="1" x14ac:dyDescent="0.2">
      <c r="A72" s="5"/>
    </row>
    <row r="73" spans="1:1" ht="12.75" customHeight="1" x14ac:dyDescent="0.2">
      <c r="A73" s="5"/>
    </row>
    <row r="74" spans="1:1" ht="12.75" customHeight="1" x14ac:dyDescent="0.2">
      <c r="A74" s="5"/>
    </row>
    <row r="75" spans="1:1" ht="12.75" customHeight="1" x14ac:dyDescent="0.2">
      <c r="A75" s="5"/>
    </row>
    <row r="76" spans="1:1" ht="12.75" customHeight="1" x14ac:dyDescent="0.2">
      <c r="A76" s="5"/>
    </row>
    <row r="77" spans="1:1" ht="12.75" customHeight="1" x14ac:dyDescent="0.2">
      <c r="A77" s="5"/>
    </row>
    <row r="78" spans="1:1" ht="12.75" customHeight="1" x14ac:dyDescent="0.2">
      <c r="A78" s="5"/>
    </row>
    <row r="79" spans="1:1" ht="12.75" customHeight="1" x14ac:dyDescent="0.2">
      <c r="A79" s="5"/>
    </row>
    <row r="80" spans="1:1" ht="12.75" customHeight="1" x14ac:dyDescent="0.2">
      <c r="A80" s="5"/>
    </row>
    <row r="81" spans="1:1" ht="12.75" customHeight="1" x14ac:dyDescent="0.2">
      <c r="A81" s="5"/>
    </row>
    <row r="82" spans="1:1" ht="12.75" customHeight="1" x14ac:dyDescent="0.2">
      <c r="A82" s="5"/>
    </row>
    <row r="83" spans="1:1" ht="12.75" customHeight="1" x14ac:dyDescent="0.2">
      <c r="A83" s="5"/>
    </row>
    <row r="84" spans="1:1" ht="12.75" customHeight="1" x14ac:dyDescent="0.2">
      <c r="A84" s="5"/>
    </row>
    <row r="85" spans="1:1" ht="12.75" customHeight="1" x14ac:dyDescent="0.2">
      <c r="A85" s="5"/>
    </row>
    <row r="86" spans="1:1" ht="12.75" customHeight="1" x14ac:dyDescent="0.2">
      <c r="A86" s="5"/>
    </row>
    <row r="87" spans="1:1" ht="12.75" customHeight="1" x14ac:dyDescent="0.2">
      <c r="A87" s="5"/>
    </row>
    <row r="88" spans="1:1" ht="12.75" customHeight="1" x14ac:dyDescent="0.2">
      <c r="A88" s="5"/>
    </row>
    <row r="89" spans="1:1" ht="12.75" customHeight="1" x14ac:dyDescent="0.2">
      <c r="A89" s="5"/>
    </row>
    <row r="90" spans="1:1" ht="12.75" customHeight="1" x14ac:dyDescent="0.2">
      <c r="A90" s="5"/>
    </row>
    <row r="91" spans="1:1" ht="12.75" customHeight="1" x14ac:dyDescent="0.2">
      <c r="A91" s="5"/>
    </row>
    <row r="92" spans="1:1" ht="12.75" customHeight="1" x14ac:dyDescent="0.2">
      <c r="A92" s="5"/>
    </row>
    <row r="93" spans="1:1" ht="12.75" customHeight="1" x14ac:dyDescent="0.2">
      <c r="A93" s="5"/>
    </row>
    <row r="94" spans="1:1" ht="12.75" customHeight="1" x14ac:dyDescent="0.2">
      <c r="A94" s="5"/>
    </row>
    <row r="95" spans="1:1" ht="12.75" customHeight="1" x14ac:dyDescent="0.2">
      <c r="A95" s="5"/>
    </row>
    <row r="96" spans="1:1" ht="12.75" customHeight="1" x14ac:dyDescent="0.2">
      <c r="A96" s="5"/>
    </row>
    <row r="97" spans="1:1" ht="12.75" customHeight="1" x14ac:dyDescent="0.2">
      <c r="A97" s="5"/>
    </row>
    <row r="98" spans="1:1" ht="12.75" customHeight="1" x14ac:dyDescent="0.2">
      <c r="A98" s="5"/>
    </row>
    <row r="99" spans="1:1" ht="12.75" customHeight="1" x14ac:dyDescent="0.2">
      <c r="A99" s="5"/>
    </row>
    <row r="100" spans="1:1" ht="12.75" customHeight="1" x14ac:dyDescent="0.2">
      <c r="A100" s="5"/>
    </row>
    <row r="101" spans="1:1" ht="12.75" customHeight="1" x14ac:dyDescent="0.2">
      <c r="A101" s="5"/>
    </row>
    <row r="102" spans="1:1" ht="12.75" customHeight="1" x14ac:dyDescent="0.2">
      <c r="A102" s="5"/>
    </row>
    <row r="103" spans="1:1" ht="12.75" customHeight="1" x14ac:dyDescent="0.2">
      <c r="A103" s="5"/>
    </row>
    <row r="104" spans="1:1" ht="12.75" customHeight="1" x14ac:dyDescent="0.2">
      <c r="A104" s="5"/>
    </row>
    <row r="105" spans="1:1" ht="12.75" customHeight="1" x14ac:dyDescent="0.2">
      <c r="A105" s="5"/>
    </row>
    <row r="106" spans="1:1" ht="12.75" customHeight="1" x14ac:dyDescent="0.2">
      <c r="A106" s="5"/>
    </row>
    <row r="107" spans="1:1" ht="12.75" customHeight="1" x14ac:dyDescent="0.2">
      <c r="A107" s="5"/>
    </row>
    <row r="108" spans="1:1" ht="12.75" customHeight="1" x14ac:dyDescent="0.2">
      <c r="A108" s="5"/>
    </row>
    <row r="109" spans="1:1" ht="12.75" customHeight="1" x14ac:dyDescent="0.2">
      <c r="A109" s="5"/>
    </row>
    <row r="110" spans="1:1" ht="12.75" customHeight="1" x14ac:dyDescent="0.2">
      <c r="A110" s="5"/>
    </row>
    <row r="111" spans="1:1" ht="12.75" customHeight="1" x14ac:dyDescent="0.2">
      <c r="A111" s="5"/>
    </row>
    <row r="112" spans="1:1" ht="12.75" customHeight="1" x14ac:dyDescent="0.2">
      <c r="A112" s="5"/>
    </row>
    <row r="113" spans="1:1" ht="12.75" customHeight="1" x14ac:dyDescent="0.2">
      <c r="A113" s="5"/>
    </row>
    <row r="114" spans="1:1" ht="12.75" customHeight="1" x14ac:dyDescent="0.2">
      <c r="A114" s="5"/>
    </row>
    <row r="115" spans="1:1" ht="12.75" customHeight="1" x14ac:dyDescent="0.2">
      <c r="A115" s="5"/>
    </row>
    <row r="116" spans="1:1" ht="12.75" customHeight="1" x14ac:dyDescent="0.2">
      <c r="A116" s="5"/>
    </row>
    <row r="117" spans="1:1" ht="12.75" customHeight="1" x14ac:dyDescent="0.2">
      <c r="A117" s="5"/>
    </row>
    <row r="118" spans="1:1" ht="12.75" customHeight="1" x14ac:dyDescent="0.2">
      <c r="A118" s="5"/>
    </row>
    <row r="119" spans="1:1" ht="12.75" customHeight="1" x14ac:dyDescent="0.2">
      <c r="A119" s="5"/>
    </row>
    <row r="120" spans="1:1" ht="12.75" customHeight="1" x14ac:dyDescent="0.2">
      <c r="A120" s="5"/>
    </row>
    <row r="121" spans="1:1" ht="12.75" customHeight="1" x14ac:dyDescent="0.2">
      <c r="A121" s="5"/>
    </row>
    <row r="122" spans="1:1" ht="12.75" customHeight="1" x14ac:dyDescent="0.2">
      <c r="A122" s="5"/>
    </row>
    <row r="123" spans="1:1" ht="12.75" customHeight="1" x14ac:dyDescent="0.2">
      <c r="A123" s="5"/>
    </row>
    <row r="124" spans="1:1" ht="12.75" customHeight="1" x14ac:dyDescent="0.2">
      <c r="A124" s="5"/>
    </row>
    <row r="125" spans="1:1" ht="12.75" customHeight="1" x14ac:dyDescent="0.2">
      <c r="A125" s="5"/>
    </row>
    <row r="126" spans="1:1" ht="12.75" customHeight="1" x14ac:dyDescent="0.2">
      <c r="A126" s="5"/>
    </row>
    <row r="127" spans="1:1" ht="12.75" customHeight="1" x14ac:dyDescent="0.2">
      <c r="A127" s="5"/>
    </row>
    <row r="128" spans="1:1" ht="12.75" customHeight="1" x14ac:dyDescent="0.2">
      <c r="A128" s="5"/>
    </row>
    <row r="129" spans="1:1" ht="12.75" customHeight="1" x14ac:dyDescent="0.2">
      <c r="A129" s="5"/>
    </row>
    <row r="130" spans="1:1" ht="12.75" customHeight="1" x14ac:dyDescent="0.2">
      <c r="A130" s="5"/>
    </row>
    <row r="131" spans="1:1" ht="12.75" customHeight="1" x14ac:dyDescent="0.2">
      <c r="A131" s="5"/>
    </row>
    <row r="132" spans="1:1" ht="12.75" customHeight="1" x14ac:dyDescent="0.2">
      <c r="A132" s="5"/>
    </row>
    <row r="133" spans="1:1" ht="12.75" customHeight="1" x14ac:dyDescent="0.2">
      <c r="A133" s="5"/>
    </row>
    <row r="134" spans="1:1" ht="12.75" customHeight="1" x14ac:dyDescent="0.2">
      <c r="A134" s="5"/>
    </row>
    <row r="135" spans="1:1" ht="12.75" customHeight="1" x14ac:dyDescent="0.2">
      <c r="A135" s="5"/>
    </row>
    <row r="136" spans="1:1" ht="12.75" customHeight="1" x14ac:dyDescent="0.2">
      <c r="A136" s="5"/>
    </row>
    <row r="137" spans="1:1" ht="12.75" customHeight="1" x14ac:dyDescent="0.2">
      <c r="A137" s="5"/>
    </row>
    <row r="138" spans="1:1" ht="12.75" customHeight="1" x14ac:dyDescent="0.2">
      <c r="A138" s="5"/>
    </row>
    <row r="139" spans="1:1" ht="12.75" customHeight="1" x14ac:dyDescent="0.2">
      <c r="A139" s="5"/>
    </row>
    <row r="140" spans="1:1" ht="12.75" customHeight="1" x14ac:dyDescent="0.2">
      <c r="A140" s="5"/>
    </row>
    <row r="141" spans="1:1" ht="12.75" customHeight="1" x14ac:dyDescent="0.2">
      <c r="A141" s="5"/>
    </row>
    <row r="142" spans="1:1" ht="12.75" customHeight="1" x14ac:dyDescent="0.2">
      <c r="A142" s="5"/>
    </row>
    <row r="143" spans="1:1" ht="12.75" customHeight="1" x14ac:dyDescent="0.2">
      <c r="A143" s="5"/>
    </row>
    <row r="144" spans="1:1" ht="12.75" customHeight="1" x14ac:dyDescent="0.2">
      <c r="A144" s="5"/>
    </row>
    <row r="145" spans="1:1" ht="12.75" customHeight="1" x14ac:dyDescent="0.2">
      <c r="A145" s="5"/>
    </row>
    <row r="146" spans="1:1" ht="12.75" customHeight="1" x14ac:dyDescent="0.2">
      <c r="A146" s="5"/>
    </row>
    <row r="147" spans="1:1" ht="12.75" customHeight="1" x14ac:dyDescent="0.2">
      <c r="A147" s="5"/>
    </row>
    <row r="148" spans="1:1" ht="12.75" customHeight="1" x14ac:dyDescent="0.2">
      <c r="A148" s="5"/>
    </row>
    <row r="149" spans="1:1" ht="12.75" customHeight="1" x14ac:dyDescent="0.2">
      <c r="A149" s="5"/>
    </row>
    <row r="150" spans="1:1" ht="12.75" customHeight="1" x14ac:dyDescent="0.2">
      <c r="A150" s="5"/>
    </row>
    <row r="151" spans="1:1" ht="12.75" customHeight="1" x14ac:dyDescent="0.2">
      <c r="A151" s="5"/>
    </row>
    <row r="152" spans="1:1" ht="12.75" customHeight="1" x14ac:dyDescent="0.2">
      <c r="A152" s="5"/>
    </row>
    <row r="153" spans="1:1" ht="12.75" customHeight="1" x14ac:dyDescent="0.2">
      <c r="A153" s="5"/>
    </row>
    <row r="154" spans="1:1" ht="12.75" customHeight="1" x14ac:dyDescent="0.2">
      <c r="A154" s="5"/>
    </row>
    <row r="155" spans="1:1" ht="12.75" customHeight="1" x14ac:dyDescent="0.2">
      <c r="A155" s="5"/>
    </row>
    <row r="156" spans="1:1" ht="12.75" customHeight="1" x14ac:dyDescent="0.2">
      <c r="A156" s="5"/>
    </row>
    <row r="157" spans="1:1" ht="12.75" customHeight="1" x14ac:dyDescent="0.2">
      <c r="A157" s="5"/>
    </row>
    <row r="158" spans="1:1" ht="12.75" customHeight="1" x14ac:dyDescent="0.2">
      <c r="A158" s="5"/>
    </row>
    <row r="159" spans="1:1" ht="12.75" customHeight="1" x14ac:dyDescent="0.2">
      <c r="A159" s="5"/>
    </row>
    <row r="160" spans="1:1" ht="12.75" customHeight="1" x14ac:dyDescent="0.2">
      <c r="A160" s="5"/>
    </row>
    <row r="161" spans="1:1" ht="12.75" customHeight="1" x14ac:dyDescent="0.2">
      <c r="A161" s="5"/>
    </row>
    <row r="162" spans="1:1" ht="12.75" customHeight="1" x14ac:dyDescent="0.2">
      <c r="A162" s="5"/>
    </row>
    <row r="163" spans="1:1" ht="12.75" customHeight="1" x14ac:dyDescent="0.2">
      <c r="A163" s="5"/>
    </row>
    <row r="164" spans="1:1" ht="12.75" customHeight="1" x14ac:dyDescent="0.2">
      <c r="A164" s="5"/>
    </row>
    <row r="165" spans="1:1" ht="12.75" customHeight="1" x14ac:dyDescent="0.2">
      <c r="A165" s="5"/>
    </row>
    <row r="166" spans="1:1" ht="12.75" customHeight="1" x14ac:dyDescent="0.2">
      <c r="A166" s="5"/>
    </row>
    <row r="167" spans="1:1" ht="12.75" customHeight="1" x14ac:dyDescent="0.2">
      <c r="A167" s="5"/>
    </row>
    <row r="168" spans="1:1" ht="12.75" customHeight="1" x14ac:dyDescent="0.2">
      <c r="A168" s="5"/>
    </row>
    <row r="169" spans="1:1" ht="12.75" customHeight="1" x14ac:dyDescent="0.2">
      <c r="A169" s="5"/>
    </row>
    <row r="170" spans="1:1" ht="12.75" customHeight="1" x14ac:dyDescent="0.2">
      <c r="A170" s="5"/>
    </row>
    <row r="171" spans="1:1" ht="12.75" customHeight="1" x14ac:dyDescent="0.2">
      <c r="A171" s="5"/>
    </row>
    <row r="172" spans="1:1" ht="12.75" customHeight="1" x14ac:dyDescent="0.2">
      <c r="A172" s="5"/>
    </row>
    <row r="173" spans="1:1" ht="12.75" customHeight="1" x14ac:dyDescent="0.2">
      <c r="A173" s="5"/>
    </row>
    <row r="174" spans="1:1" ht="12.75" customHeight="1" x14ac:dyDescent="0.2">
      <c r="A174" s="5"/>
    </row>
    <row r="175" spans="1:1" ht="12.75" customHeight="1" x14ac:dyDescent="0.2">
      <c r="A175" s="5"/>
    </row>
    <row r="176" spans="1:1" ht="12.75" customHeight="1" x14ac:dyDescent="0.2">
      <c r="A176" s="5"/>
    </row>
    <row r="177" spans="1:1" ht="12.75" customHeight="1" x14ac:dyDescent="0.2">
      <c r="A177" s="5"/>
    </row>
    <row r="178" spans="1:1" ht="12.75" customHeight="1" x14ac:dyDescent="0.2">
      <c r="A178" s="5"/>
    </row>
    <row r="179" spans="1:1" ht="12.75" customHeight="1" x14ac:dyDescent="0.2">
      <c r="A179" s="5"/>
    </row>
    <row r="180" spans="1:1" ht="12.75" customHeight="1" x14ac:dyDescent="0.2">
      <c r="A180" s="5"/>
    </row>
    <row r="181" spans="1:1" ht="12.75" customHeight="1" x14ac:dyDescent="0.2">
      <c r="A181" s="5"/>
    </row>
    <row r="182" spans="1:1" ht="12.75" customHeight="1" x14ac:dyDescent="0.2">
      <c r="A182" s="5"/>
    </row>
    <row r="183" spans="1:1" ht="12.75" customHeight="1" x14ac:dyDescent="0.2">
      <c r="A183" s="5"/>
    </row>
    <row r="184" spans="1:1" ht="12.75" customHeight="1" x14ac:dyDescent="0.2">
      <c r="A184" s="5"/>
    </row>
    <row r="185" spans="1:1" ht="12.75" customHeight="1" x14ac:dyDescent="0.2">
      <c r="A185" s="5"/>
    </row>
    <row r="186" spans="1:1" ht="12.75" customHeight="1" x14ac:dyDescent="0.2">
      <c r="A186" s="5"/>
    </row>
    <row r="187" spans="1:1" ht="12.75" customHeight="1" x14ac:dyDescent="0.2">
      <c r="A187" s="5"/>
    </row>
    <row r="188" spans="1:1" ht="12.75" customHeight="1" x14ac:dyDescent="0.2">
      <c r="A188" s="5"/>
    </row>
    <row r="189" spans="1:1" ht="12.75" customHeight="1" x14ac:dyDescent="0.2">
      <c r="A189" s="5"/>
    </row>
    <row r="190" spans="1:1" ht="12.75" customHeight="1" x14ac:dyDescent="0.2">
      <c r="A190" s="5"/>
    </row>
    <row r="191" spans="1:1" ht="12.75" customHeight="1" x14ac:dyDescent="0.2">
      <c r="A191" s="5"/>
    </row>
    <row r="192" spans="1:1" ht="12.75" customHeight="1" x14ac:dyDescent="0.2">
      <c r="A192" s="5"/>
    </row>
    <row r="193" spans="1:1" ht="12.75" customHeight="1" x14ac:dyDescent="0.2">
      <c r="A193" s="5"/>
    </row>
    <row r="194" spans="1:1" ht="12.75" customHeight="1" x14ac:dyDescent="0.2">
      <c r="A194" s="5"/>
    </row>
    <row r="195" spans="1:1" ht="12.75" customHeight="1" x14ac:dyDescent="0.2">
      <c r="A195" s="5"/>
    </row>
    <row r="196" spans="1:1" ht="12.75" customHeight="1" x14ac:dyDescent="0.2">
      <c r="A196" s="5"/>
    </row>
    <row r="197" spans="1:1" ht="12.75" customHeight="1" x14ac:dyDescent="0.2">
      <c r="A197" s="5"/>
    </row>
    <row r="198" spans="1:1" ht="12.75" customHeight="1" x14ac:dyDescent="0.2">
      <c r="A198" s="5"/>
    </row>
    <row r="199" spans="1:1" ht="12.75" customHeight="1" x14ac:dyDescent="0.2">
      <c r="A199" s="5"/>
    </row>
    <row r="200" spans="1:1" ht="12.75" customHeight="1" x14ac:dyDescent="0.2">
      <c r="A200" s="5"/>
    </row>
    <row r="201" spans="1:1" ht="12.75" customHeight="1" x14ac:dyDescent="0.2">
      <c r="A201" s="5"/>
    </row>
    <row r="202" spans="1:1" ht="12.75" customHeight="1" x14ac:dyDescent="0.2">
      <c r="A202" s="5"/>
    </row>
    <row r="203" spans="1:1" ht="12.75" customHeight="1" x14ac:dyDescent="0.2">
      <c r="A203" s="5"/>
    </row>
    <row r="204" spans="1:1" ht="12.75" customHeight="1" x14ac:dyDescent="0.2">
      <c r="A204" s="5"/>
    </row>
    <row r="205" spans="1:1" ht="12.75" customHeight="1" x14ac:dyDescent="0.2">
      <c r="A205" s="5"/>
    </row>
    <row r="206" spans="1:1" ht="12.75" customHeight="1" x14ac:dyDescent="0.2">
      <c r="A206" s="5"/>
    </row>
    <row r="207" spans="1:1" ht="12.75" customHeight="1" x14ac:dyDescent="0.2">
      <c r="A207" s="5"/>
    </row>
    <row r="208" spans="1:1" ht="12.75" customHeight="1" x14ac:dyDescent="0.2">
      <c r="A208" s="5"/>
    </row>
    <row r="209" spans="1:1" ht="12.75" customHeight="1" x14ac:dyDescent="0.2">
      <c r="A209" s="5"/>
    </row>
    <row r="210" spans="1:1" ht="12.75" customHeight="1" x14ac:dyDescent="0.2">
      <c r="A210" s="5"/>
    </row>
    <row r="211" spans="1:1" ht="12.75" customHeight="1" x14ac:dyDescent="0.2">
      <c r="A211" s="5"/>
    </row>
    <row r="212" spans="1:1" ht="12.75" customHeight="1" x14ac:dyDescent="0.2">
      <c r="A212" s="5"/>
    </row>
    <row r="213" spans="1:1" ht="12.75" customHeight="1" x14ac:dyDescent="0.2">
      <c r="A213" s="5"/>
    </row>
    <row r="214" spans="1:1" ht="12.75" customHeight="1" x14ac:dyDescent="0.2">
      <c r="A214" s="5"/>
    </row>
    <row r="215" spans="1:1" ht="12.75" customHeight="1" x14ac:dyDescent="0.2">
      <c r="A215" s="5"/>
    </row>
    <row r="216" spans="1:1" ht="12.75" customHeight="1" x14ac:dyDescent="0.2">
      <c r="A216" s="5"/>
    </row>
    <row r="217" spans="1:1" ht="12.75" customHeight="1" x14ac:dyDescent="0.2">
      <c r="A217" s="5"/>
    </row>
    <row r="218" spans="1:1" ht="12.75" customHeight="1" x14ac:dyDescent="0.2">
      <c r="A218" s="5"/>
    </row>
    <row r="219" spans="1:1" ht="12.75" customHeight="1" x14ac:dyDescent="0.2">
      <c r="A219" s="5"/>
    </row>
    <row r="220" spans="1:1" ht="12.75" customHeight="1" x14ac:dyDescent="0.2">
      <c r="A220" s="5"/>
    </row>
    <row r="221" spans="1:1" ht="12.75" customHeight="1" x14ac:dyDescent="0.2">
      <c r="A221" s="5"/>
    </row>
    <row r="222" spans="1:1" ht="12.75" customHeight="1" x14ac:dyDescent="0.2">
      <c r="A222" s="5"/>
    </row>
    <row r="223" spans="1:1" ht="12.75" customHeight="1" x14ac:dyDescent="0.2">
      <c r="A223" s="5"/>
    </row>
    <row r="224" spans="1:1" ht="12.75" customHeight="1" x14ac:dyDescent="0.2">
      <c r="A224" s="5"/>
    </row>
    <row r="225" spans="1:1" ht="12.75" customHeight="1" x14ac:dyDescent="0.2">
      <c r="A225" s="5"/>
    </row>
    <row r="226" spans="1:1" ht="12.75" customHeight="1" x14ac:dyDescent="0.2">
      <c r="A226" s="5"/>
    </row>
    <row r="227" spans="1:1" ht="12.75" customHeight="1" x14ac:dyDescent="0.2">
      <c r="A227" s="5"/>
    </row>
    <row r="228" spans="1:1" ht="12.75" customHeight="1" x14ac:dyDescent="0.2">
      <c r="A228" s="5"/>
    </row>
    <row r="229" spans="1:1" ht="12.75" customHeight="1" x14ac:dyDescent="0.2">
      <c r="A229" s="5"/>
    </row>
    <row r="230" spans="1:1" ht="12.75" customHeight="1" x14ac:dyDescent="0.2">
      <c r="A230" s="5"/>
    </row>
    <row r="231" spans="1:1" ht="12.75" customHeight="1" x14ac:dyDescent="0.2">
      <c r="A231" s="5"/>
    </row>
    <row r="232" spans="1:1" ht="12.75" customHeight="1" x14ac:dyDescent="0.2">
      <c r="A232" s="5"/>
    </row>
    <row r="233" spans="1:1" ht="12.75" customHeight="1" x14ac:dyDescent="0.2">
      <c r="A233" s="5"/>
    </row>
    <row r="234" spans="1:1" ht="12.75" customHeight="1" x14ac:dyDescent="0.2">
      <c r="A234" s="5"/>
    </row>
    <row r="235" spans="1:1" ht="12.75" customHeight="1" x14ac:dyDescent="0.2">
      <c r="A235" s="5"/>
    </row>
    <row r="236" spans="1:1" ht="12.75" customHeight="1" x14ac:dyDescent="0.2">
      <c r="A236" s="5"/>
    </row>
    <row r="237" spans="1:1" ht="12.75" customHeight="1" x14ac:dyDescent="0.2">
      <c r="A237" s="5"/>
    </row>
    <row r="238" spans="1:1" ht="12.75" customHeight="1" x14ac:dyDescent="0.2">
      <c r="A238" s="5"/>
    </row>
    <row r="239" spans="1:1" ht="12.75" customHeight="1" x14ac:dyDescent="0.2">
      <c r="A239" s="5"/>
    </row>
    <row r="240" spans="1:1" ht="12.75" customHeight="1" x14ac:dyDescent="0.2"/>
    <row r="241" ht="12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5" right="0.75" top="1" bottom="1" header="0" footer="0"/>
  <pageSetup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1000"/>
  <sheetViews>
    <sheetView workbookViewId="0">
      <pane ySplit="1" topLeftCell="A2" activePane="bottomLeft" state="frozen"/>
      <selection pane="bottomLeft" activeCell="B3" sqref="B3"/>
    </sheetView>
  </sheetViews>
  <sheetFormatPr defaultColWidth="12.5703125" defaultRowHeight="15" customHeight="1" x14ac:dyDescent="0.2"/>
  <cols>
    <col min="1" max="1" width="48.140625" customWidth="1"/>
    <col min="2" max="2" width="24.85546875" customWidth="1"/>
    <col min="3" max="3" width="15.5703125" customWidth="1"/>
    <col min="4" max="4" width="17.140625" customWidth="1"/>
    <col min="5" max="6" width="11.42578125" customWidth="1"/>
  </cols>
  <sheetData>
    <row r="1" spans="1:4" ht="12.75" customHeight="1" x14ac:dyDescent="0.2">
      <c r="A1" s="6" t="s">
        <v>0</v>
      </c>
      <c r="B1" s="6" t="s">
        <v>470</v>
      </c>
      <c r="C1" s="6" t="s">
        <v>471</v>
      </c>
      <c r="D1" s="6" t="s">
        <v>472</v>
      </c>
    </row>
    <row r="2" spans="1:4" ht="12.75" customHeight="1" x14ac:dyDescent="0.2">
      <c r="A2" s="12" t="s">
        <v>473</v>
      </c>
    </row>
    <row r="3" spans="1:4" ht="12.75" customHeight="1" x14ac:dyDescent="0.2">
      <c r="A3" s="12"/>
    </row>
    <row r="4" spans="1:4" ht="12.75" customHeight="1" x14ac:dyDescent="0.2">
      <c r="A4" s="12"/>
    </row>
    <row r="5" spans="1:4" ht="12.75" customHeight="1" x14ac:dyDescent="0.2">
      <c r="A5" s="12"/>
    </row>
    <row r="6" spans="1:4" ht="12.75" customHeight="1" x14ac:dyDescent="0.2">
      <c r="A6" s="12"/>
    </row>
    <row r="7" spans="1:4" ht="12.75" customHeight="1" x14ac:dyDescent="0.2">
      <c r="A7" s="12"/>
    </row>
    <row r="8" spans="1:4" ht="12.75" customHeight="1" x14ac:dyDescent="0.2">
      <c r="A8" s="12"/>
    </row>
    <row r="9" spans="1:4" ht="12.75" customHeight="1" x14ac:dyDescent="0.2">
      <c r="A9" s="12"/>
    </row>
    <row r="10" spans="1:4" ht="12.75" customHeight="1" x14ac:dyDescent="0.2">
      <c r="A10" s="12"/>
    </row>
    <row r="11" spans="1:4" ht="12.75" customHeight="1" x14ac:dyDescent="0.2">
      <c r="A11" s="12"/>
    </row>
    <row r="12" spans="1:4" ht="12.75" customHeight="1" x14ac:dyDescent="0.2">
      <c r="A12" s="12"/>
    </row>
    <row r="13" spans="1:4" ht="12.75" customHeight="1" x14ac:dyDescent="0.2">
      <c r="A13" s="12"/>
    </row>
    <row r="14" spans="1:4" ht="12.75" customHeight="1" x14ac:dyDescent="0.2">
      <c r="A14" s="12"/>
    </row>
    <row r="15" spans="1:4" ht="12.75" customHeight="1" x14ac:dyDescent="0.2"/>
    <row r="16" spans="1:4" ht="12.75" customHeight="1" x14ac:dyDescent="0.2"/>
    <row r="17" ht="12.75" customHeight="1" x14ac:dyDescent="0.2"/>
    <row r="18" ht="12.75" customHeight="1" x14ac:dyDescent="0.2"/>
    <row r="19" ht="12.75" customHeight="1" x14ac:dyDescent="0.2"/>
    <row r="20" ht="12.75" customHeight="1" x14ac:dyDescent="0.2"/>
    <row r="21" ht="12.75" customHeight="1" x14ac:dyDescent="0.2"/>
    <row r="22" ht="12.75" customHeight="1" x14ac:dyDescent="0.2"/>
    <row r="23" ht="12.75" customHeight="1" x14ac:dyDescent="0.2"/>
    <row r="24" ht="12.75" customHeight="1" x14ac:dyDescent="0.2"/>
    <row r="25" ht="12.75" customHeight="1" x14ac:dyDescent="0.2"/>
    <row r="26" ht="12.75" customHeight="1" x14ac:dyDescent="0.2"/>
    <row r="27" ht="12.75" customHeight="1" x14ac:dyDescent="0.2"/>
    <row r="28" ht="12.75" customHeight="1" x14ac:dyDescent="0.2"/>
    <row r="29" ht="12.75" customHeight="1" x14ac:dyDescent="0.2"/>
    <row r="30" ht="12.75" customHeight="1" x14ac:dyDescent="0.2"/>
    <row r="31" ht="12.75" customHeight="1" x14ac:dyDescent="0.2"/>
    <row r="32" ht="12.75" customHeight="1" x14ac:dyDescent="0.2"/>
    <row r="33" ht="12.75" customHeight="1" x14ac:dyDescent="0.2"/>
    <row r="34" ht="12.75" customHeight="1" x14ac:dyDescent="0.2"/>
    <row r="35" ht="12.75" customHeight="1" x14ac:dyDescent="0.2"/>
    <row r="36" ht="12.75" customHeight="1" x14ac:dyDescent="0.2"/>
    <row r="37" ht="12.75" customHeight="1" x14ac:dyDescent="0.2"/>
    <row r="38" ht="12.75" customHeight="1" x14ac:dyDescent="0.2"/>
    <row r="39" ht="12.75" customHeight="1" x14ac:dyDescent="0.2"/>
    <row r="40" ht="12.75" customHeight="1" x14ac:dyDescent="0.2"/>
    <row r="41" ht="12.75" customHeight="1" x14ac:dyDescent="0.2"/>
    <row r="42" ht="12.75" customHeight="1" x14ac:dyDescent="0.2"/>
    <row r="43" ht="12.75" customHeight="1" x14ac:dyDescent="0.2"/>
    <row r="44" ht="12.75" customHeight="1" x14ac:dyDescent="0.2"/>
    <row r="45" ht="12.75" customHeight="1" x14ac:dyDescent="0.2"/>
    <row r="46" ht="12.75" customHeight="1" x14ac:dyDescent="0.2"/>
    <row r="47" ht="12.75" customHeight="1" x14ac:dyDescent="0.2"/>
    <row r="48" ht="12.75" customHeight="1" x14ac:dyDescent="0.2"/>
    <row r="49" ht="12.75" customHeight="1" x14ac:dyDescent="0.2"/>
    <row r="50" ht="12.75" customHeight="1" x14ac:dyDescent="0.2"/>
    <row r="51" ht="12.75" customHeight="1" x14ac:dyDescent="0.2"/>
    <row r="52" ht="12.75" customHeight="1" x14ac:dyDescent="0.2"/>
    <row r="53" ht="12.75" customHeight="1" x14ac:dyDescent="0.2"/>
    <row r="54" ht="12.75" customHeight="1" x14ac:dyDescent="0.2"/>
    <row r="55" ht="12.75" customHeight="1" x14ac:dyDescent="0.2"/>
    <row r="56" ht="12.75" customHeight="1" x14ac:dyDescent="0.2"/>
    <row r="57" ht="12.75" customHeight="1" x14ac:dyDescent="0.2"/>
    <row r="58" ht="12.75" customHeight="1" x14ac:dyDescent="0.2"/>
    <row r="59" ht="12.75" customHeight="1" x14ac:dyDescent="0.2"/>
    <row r="60" ht="12.75" customHeight="1" x14ac:dyDescent="0.2"/>
    <row r="61" ht="12.75" customHeight="1" x14ac:dyDescent="0.2"/>
    <row r="62" ht="12.75" customHeight="1" x14ac:dyDescent="0.2"/>
    <row r="63" ht="12.75" customHeight="1" x14ac:dyDescent="0.2"/>
    <row r="64" ht="12.75" customHeight="1" x14ac:dyDescent="0.2"/>
    <row r="65" ht="12.75" customHeight="1" x14ac:dyDescent="0.2"/>
    <row r="66" ht="12.75" customHeight="1" x14ac:dyDescent="0.2"/>
    <row r="67" ht="12.75" customHeight="1" x14ac:dyDescent="0.2"/>
    <row r="68" ht="12.75" customHeight="1" x14ac:dyDescent="0.2"/>
    <row r="69" ht="12.75" customHeight="1" x14ac:dyDescent="0.2"/>
    <row r="70" ht="12.75" customHeight="1" x14ac:dyDescent="0.2"/>
    <row r="71" ht="12.75" customHeight="1" x14ac:dyDescent="0.2"/>
    <row r="72" ht="12.75" customHeight="1" x14ac:dyDescent="0.2"/>
    <row r="73" ht="12.75" customHeight="1" x14ac:dyDescent="0.2"/>
    <row r="74" ht="12.75" customHeight="1" x14ac:dyDescent="0.2"/>
    <row r="75" ht="12.75" customHeight="1" x14ac:dyDescent="0.2"/>
    <row r="76" ht="12.75" customHeight="1" x14ac:dyDescent="0.2"/>
    <row r="77" ht="12.75" customHeight="1" x14ac:dyDescent="0.2"/>
    <row r="78" ht="12.75" customHeight="1" x14ac:dyDescent="0.2"/>
    <row r="79" ht="12.75" customHeight="1" x14ac:dyDescent="0.2"/>
    <row r="80" ht="12.75" customHeight="1" x14ac:dyDescent="0.2"/>
    <row r="81" ht="12.75" customHeight="1" x14ac:dyDescent="0.2"/>
    <row r="82" ht="12.75" customHeight="1" x14ac:dyDescent="0.2"/>
    <row r="83" ht="12.75" customHeight="1" x14ac:dyDescent="0.2"/>
    <row r="84" ht="12.75" customHeight="1" x14ac:dyDescent="0.2"/>
    <row r="85" ht="12.75" customHeight="1" x14ac:dyDescent="0.2"/>
    <row r="86" ht="12.75" customHeight="1" x14ac:dyDescent="0.2"/>
    <row r="87" ht="12.75" customHeight="1" x14ac:dyDescent="0.2"/>
    <row r="88" ht="12.75" customHeight="1" x14ac:dyDescent="0.2"/>
    <row r="89" ht="12.75" customHeight="1" x14ac:dyDescent="0.2"/>
    <row r="90" ht="12.75" customHeight="1" x14ac:dyDescent="0.2"/>
    <row r="91" ht="12.75" customHeight="1" x14ac:dyDescent="0.2"/>
    <row r="92" ht="12.75" customHeight="1" x14ac:dyDescent="0.2"/>
    <row r="93" ht="12.75" customHeight="1" x14ac:dyDescent="0.2"/>
    <row r="94" ht="12.75" customHeight="1" x14ac:dyDescent="0.2"/>
    <row r="95" ht="12.75" customHeight="1" x14ac:dyDescent="0.2"/>
    <row r="96" ht="12.75" customHeight="1" x14ac:dyDescent="0.2"/>
    <row r="97" ht="12.75" customHeight="1" x14ac:dyDescent="0.2"/>
    <row r="98" ht="12.75" customHeight="1" x14ac:dyDescent="0.2"/>
    <row r="99" ht="12.75" customHeight="1" x14ac:dyDescent="0.2"/>
    <row r="100" ht="12.75" customHeight="1" x14ac:dyDescent="0.2"/>
    <row r="101" ht="12.75" customHeight="1" x14ac:dyDescent="0.2"/>
    <row r="102" ht="12.75" customHeight="1" x14ac:dyDescent="0.2"/>
    <row r="103" ht="12.75" customHeight="1" x14ac:dyDescent="0.2"/>
    <row r="104" ht="12.75" customHeight="1" x14ac:dyDescent="0.2"/>
    <row r="105" ht="12.75" customHeight="1" x14ac:dyDescent="0.2"/>
    <row r="106" ht="12.75" customHeight="1" x14ac:dyDescent="0.2"/>
    <row r="107" ht="12.75" customHeight="1" x14ac:dyDescent="0.2"/>
    <row r="108" ht="12.75" customHeight="1" x14ac:dyDescent="0.2"/>
    <row r="109" ht="12.75" customHeight="1" x14ac:dyDescent="0.2"/>
    <row r="110" ht="12.75" customHeight="1" x14ac:dyDescent="0.2"/>
    <row r="111" ht="12.75" customHeight="1" x14ac:dyDescent="0.2"/>
    <row r="112" ht="12.75" customHeight="1" x14ac:dyDescent="0.2"/>
    <row r="113" ht="12.75" customHeight="1" x14ac:dyDescent="0.2"/>
    <row r="114" ht="12.75" customHeight="1" x14ac:dyDescent="0.2"/>
    <row r="115" ht="12.75" customHeight="1" x14ac:dyDescent="0.2"/>
    <row r="116" ht="12.75" customHeight="1" x14ac:dyDescent="0.2"/>
    <row r="117" ht="12.75" customHeight="1" x14ac:dyDescent="0.2"/>
    <row r="118" ht="12.75" customHeight="1" x14ac:dyDescent="0.2"/>
    <row r="119" ht="12.75" customHeight="1" x14ac:dyDescent="0.2"/>
    <row r="120" ht="12.75" customHeight="1" x14ac:dyDescent="0.2"/>
    <row r="121" ht="12.75" customHeight="1" x14ac:dyDescent="0.2"/>
    <row r="122" ht="12.75" customHeight="1" x14ac:dyDescent="0.2"/>
    <row r="123" ht="12.75" customHeight="1" x14ac:dyDescent="0.2"/>
    <row r="124" ht="12.75" customHeight="1" x14ac:dyDescent="0.2"/>
    <row r="125" ht="12.75" customHeight="1" x14ac:dyDescent="0.2"/>
    <row r="126" ht="12.75" customHeight="1" x14ac:dyDescent="0.2"/>
    <row r="127" ht="12.75" customHeight="1" x14ac:dyDescent="0.2"/>
    <row r="128" ht="12.75" customHeight="1" x14ac:dyDescent="0.2"/>
    <row r="129" ht="12.75" customHeight="1" x14ac:dyDescent="0.2"/>
    <row r="130" ht="12.75" customHeight="1" x14ac:dyDescent="0.2"/>
    <row r="131" ht="12.75" customHeight="1" x14ac:dyDescent="0.2"/>
    <row r="132" ht="12.75" customHeight="1" x14ac:dyDescent="0.2"/>
    <row r="133" ht="12.75" customHeight="1" x14ac:dyDescent="0.2"/>
    <row r="134" ht="12.75" customHeight="1" x14ac:dyDescent="0.2"/>
    <row r="135" ht="12.75" customHeight="1" x14ac:dyDescent="0.2"/>
    <row r="136" ht="12.75" customHeight="1" x14ac:dyDescent="0.2"/>
    <row r="137" ht="12.75" customHeight="1" x14ac:dyDescent="0.2"/>
    <row r="138" ht="12.75" customHeight="1" x14ac:dyDescent="0.2"/>
    <row r="139" ht="12.75" customHeight="1" x14ac:dyDescent="0.2"/>
    <row r="140" ht="12.75" customHeight="1" x14ac:dyDescent="0.2"/>
    <row r="141" ht="12.75" customHeight="1" x14ac:dyDescent="0.2"/>
    <row r="142" ht="12.75" customHeight="1" x14ac:dyDescent="0.2"/>
    <row r="143" ht="12.75" customHeight="1" x14ac:dyDescent="0.2"/>
    <row r="144" ht="12.75" customHeight="1" x14ac:dyDescent="0.2"/>
    <row r="145" ht="12.75" customHeight="1" x14ac:dyDescent="0.2"/>
    <row r="146" ht="12.75" customHeight="1" x14ac:dyDescent="0.2"/>
    <row r="147" ht="12.75" customHeight="1" x14ac:dyDescent="0.2"/>
    <row r="148" ht="12.75" customHeight="1" x14ac:dyDescent="0.2"/>
    <row r="149" ht="12.75" customHeight="1" x14ac:dyDescent="0.2"/>
    <row r="150" ht="12.75" customHeight="1" x14ac:dyDescent="0.2"/>
    <row r="151" ht="12.75" customHeight="1" x14ac:dyDescent="0.2"/>
    <row r="152" ht="12.75" customHeight="1" x14ac:dyDescent="0.2"/>
    <row r="153" ht="12.75" customHeight="1" x14ac:dyDescent="0.2"/>
    <row r="154" ht="12.75" customHeight="1" x14ac:dyDescent="0.2"/>
    <row r="155" ht="12.75" customHeight="1" x14ac:dyDescent="0.2"/>
    <row r="156" ht="12.75" customHeight="1" x14ac:dyDescent="0.2"/>
    <row r="157" ht="12.75" customHeight="1" x14ac:dyDescent="0.2"/>
    <row r="158" ht="12.75" customHeight="1" x14ac:dyDescent="0.2"/>
    <row r="159" ht="12.75" customHeight="1" x14ac:dyDescent="0.2"/>
    <row r="160" ht="12.75" customHeight="1" x14ac:dyDescent="0.2"/>
    <row r="161" ht="12.75" customHeight="1" x14ac:dyDescent="0.2"/>
    <row r="162" ht="12.75" customHeight="1" x14ac:dyDescent="0.2"/>
    <row r="163" ht="12.75" customHeight="1" x14ac:dyDescent="0.2"/>
    <row r="164" ht="12.75" customHeight="1" x14ac:dyDescent="0.2"/>
    <row r="165" ht="12.75" customHeight="1" x14ac:dyDescent="0.2"/>
    <row r="166" ht="12.75" customHeight="1" x14ac:dyDescent="0.2"/>
    <row r="167" ht="12.75" customHeight="1" x14ac:dyDescent="0.2"/>
    <row r="168" ht="12.75" customHeight="1" x14ac:dyDescent="0.2"/>
    <row r="169" ht="12.75" customHeight="1" x14ac:dyDescent="0.2"/>
    <row r="170" ht="12.75" customHeight="1" x14ac:dyDescent="0.2"/>
    <row r="171" ht="12.75" customHeight="1" x14ac:dyDescent="0.2"/>
    <row r="172" ht="12.75" customHeight="1" x14ac:dyDescent="0.2"/>
    <row r="173" ht="12.75" customHeight="1" x14ac:dyDescent="0.2"/>
    <row r="174" ht="12.75" customHeight="1" x14ac:dyDescent="0.2"/>
    <row r="175" ht="12.75" customHeight="1" x14ac:dyDescent="0.2"/>
    <row r="176" ht="12.75" customHeight="1" x14ac:dyDescent="0.2"/>
    <row r="177" ht="12.75" customHeight="1" x14ac:dyDescent="0.2"/>
    <row r="178" ht="12.75" customHeight="1" x14ac:dyDescent="0.2"/>
    <row r="179" ht="12.75" customHeight="1" x14ac:dyDescent="0.2"/>
    <row r="180" ht="12.75" customHeight="1" x14ac:dyDescent="0.2"/>
    <row r="181" ht="12.75" customHeight="1" x14ac:dyDescent="0.2"/>
    <row r="182" ht="12.75" customHeight="1" x14ac:dyDescent="0.2"/>
    <row r="183" ht="12.75" customHeight="1" x14ac:dyDescent="0.2"/>
    <row r="184" ht="12.75" customHeight="1" x14ac:dyDescent="0.2"/>
    <row r="185" ht="12.75" customHeight="1" x14ac:dyDescent="0.2"/>
    <row r="186" ht="12.75" customHeight="1" x14ac:dyDescent="0.2"/>
    <row r="187" ht="12.75" customHeight="1" x14ac:dyDescent="0.2"/>
    <row r="188" ht="12.75" customHeight="1" x14ac:dyDescent="0.2"/>
    <row r="189" ht="12.75" customHeight="1" x14ac:dyDescent="0.2"/>
    <row r="190" ht="12.75" customHeight="1" x14ac:dyDescent="0.2"/>
    <row r="191" ht="12.75" customHeight="1" x14ac:dyDescent="0.2"/>
    <row r="192" ht="12.75" customHeight="1" x14ac:dyDescent="0.2"/>
    <row r="193" ht="12.75" customHeight="1" x14ac:dyDescent="0.2"/>
    <row r="194" ht="12.75" customHeight="1" x14ac:dyDescent="0.2"/>
    <row r="195" ht="12.75" customHeight="1" x14ac:dyDescent="0.2"/>
    <row r="196" ht="12.75" customHeight="1" x14ac:dyDescent="0.2"/>
    <row r="197" ht="12.75" customHeight="1" x14ac:dyDescent="0.2"/>
    <row r="198" ht="12.75" customHeight="1" x14ac:dyDescent="0.2"/>
    <row r="199" ht="12.75" customHeight="1" x14ac:dyDescent="0.2"/>
    <row r="200" ht="12.75" customHeight="1" x14ac:dyDescent="0.2"/>
    <row r="201" ht="12.75" customHeight="1" x14ac:dyDescent="0.2"/>
    <row r="202" ht="12.75" customHeight="1" x14ac:dyDescent="0.2"/>
    <row r="203" ht="12.75" customHeight="1" x14ac:dyDescent="0.2"/>
    <row r="204" ht="12.75" customHeight="1" x14ac:dyDescent="0.2"/>
    <row r="205" ht="12.75" customHeight="1" x14ac:dyDescent="0.2"/>
    <row r="206" ht="12.75" customHeight="1" x14ac:dyDescent="0.2"/>
    <row r="207" ht="12.75" customHeight="1" x14ac:dyDescent="0.2"/>
    <row r="208" ht="12.75" customHeight="1" x14ac:dyDescent="0.2"/>
    <row r="209" ht="12.75" customHeight="1" x14ac:dyDescent="0.2"/>
    <row r="210" ht="12.75" customHeight="1" x14ac:dyDescent="0.2"/>
    <row r="211" ht="12.75" customHeight="1" x14ac:dyDescent="0.2"/>
    <row r="212" ht="12.75" customHeight="1" x14ac:dyDescent="0.2"/>
    <row r="213" ht="12.75" customHeight="1" x14ac:dyDescent="0.2"/>
    <row r="214" ht="12.75" customHeight="1" x14ac:dyDescent="0.2"/>
    <row r="215" ht="12.75" customHeight="1" x14ac:dyDescent="0.2"/>
    <row r="216" ht="12.75" customHeight="1" x14ac:dyDescent="0.2"/>
    <row r="217" ht="12.75" customHeight="1" x14ac:dyDescent="0.2"/>
    <row r="218" ht="12.75" customHeight="1" x14ac:dyDescent="0.2"/>
    <row r="219" ht="12.75" customHeight="1" x14ac:dyDescent="0.2"/>
    <row r="220" ht="12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5" right="0.75" top="1" bottom="1" header="0" footer="0"/>
  <pageSetup paperSize="9"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Metrics</vt:lpstr>
      <vt:lpstr>Morphometrical Details</vt:lpstr>
      <vt:lpstr>Characters</vt:lpstr>
      <vt:lpstr>Reference</vt:lpstr>
      <vt:lpstr>Characters!bprime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Lawrence Perepolkin</cp:lastModifiedBy>
  <dcterms:modified xsi:type="dcterms:W3CDTF">2024-01-29T18:26:23Z</dcterms:modified>
</cp:coreProperties>
</file>